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showInkAnnotation="0" codeName="ThisWorkbook" autoCompressPictures="0"/>
  <mc:AlternateContent xmlns:mc="http://schemas.openxmlformats.org/markup-compatibility/2006">
    <mc:Choice Requires="x15">
      <x15ac:absPath xmlns:x15ac="http://schemas.microsoft.com/office/spreadsheetml/2010/11/ac" url="\\SERVER\RedirectedFolders\amyhartshorn\Desktop\"/>
    </mc:Choice>
  </mc:AlternateContent>
  <xr:revisionPtr revIDLastSave="0" documentId="13_ncr:1_{DD6DC76E-F30E-4C1D-87CA-DB4831E7FB9A}" xr6:coauthVersionLast="45" xr6:coauthVersionMax="45" xr10:uidLastSave="{00000000-0000-0000-0000-000000000000}"/>
  <workbookProtection workbookPassword="E31B" lockStructure="1"/>
  <bookViews>
    <workbookView xWindow="-120" yWindow="-120" windowWidth="25440" windowHeight="15390" tabRatio="789" activeTab="7"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11" i="5" l="1"/>
  <c r="C11" i="5"/>
  <c r="B5" i="5"/>
  <c r="C5" i="5"/>
  <c r="B14" i="5"/>
  <c r="C14" i="5"/>
  <c r="B6" i="5"/>
  <c r="C6" i="5"/>
  <c r="B7" i="5"/>
  <c r="C7" i="5"/>
  <c r="B8" i="5"/>
  <c r="C8" i="5"/>
  <c r="B9" i="5"/>
  <c r="C9" i="5"/>
  <c r="B10" i="5"/>
  <c r="C10" i="5"/>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C285" i="5"/>
  <c r="B285" i="5"/>
  <c r="S285" i="5" s="1"/>
  <c r="C284" i="5"/>
  <c r="V284" i="5" s="1"/>
  <c r="B284" i="5"/>
  <c r="F513" i="5" l="1"/>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s="1"/>
  <c r="B54" i="6"/>
  <c r="G54" i="6" s="1"/>
  <c r="B53" i="6"/>
  <c r="G53" i="6" s="1"/>
  <c r="B50" i="6"/>
  <c r="G50" i="6" s="1"/>
  <c r="H14" i="6"/>
  <c r="H61" i="4"/>
  <c r="B86" i="4"/>
  <c r="B23" i="6" l="1"/>
  <c r="B48" i="6" s="1"/>
  <c r="F23" i="6"/>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G23" i="6"/>
  <c r="H23" i="6" s="1"/>
  <c r="D23" i="6" s="1"/>
  <c r="F20" i="6"/>
  <c r="F22" i="6"/>
  <c r="G22" i="6"/>
  <c r="G18" i="6"/>
  <c r="H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C13" i="6" l="1"/>
  <c r="C12" i="6"/>
  <c r="C10" i="6"/>
  <c r="C11" i="6"/>
  <c r="C4" i="6"/>
  <c r="C8" i="6"/>
  <c r="C7" i="6"/>
  <c r="C5" i="6"/>
  <c r="B33" i="6"/>
  <c r="B38" i="6"/>
  <c r="B43" i="6"/>
  <c r="B28" i="6"/>
  <c r="G28" i="6" s="1"/>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C55" i="5"/>
  <c r="B52" i="5"/>
  <c r="B50" i="5"/>
  <c r="B48" i="5"/>
  <c r="B45" i="5"/>
  <c r="C44" i="5"/>
  <c r="B43" i="5"/>
  <c r="C42" i="5"/>
  <c r="B41" i="5"/>
  <c r="C40"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C60" i="5"/>
  <c r="B57" i="5"/>
  <c r="C52" i="5"/>
  <c r="B49" i="5"/>
  <c r="B44" i="5"/>
  <c r="B39" i="5"/>
  <c r="C38" i="5"/>
  <c r="C31" i="5"/>
  <c r="B28" i="5"/>
  <c r="B26" i="5"/>
  <c r="B24" i="5"/>
  <c r="B21" i="5"/>
  <c r="C20" i="5"/>
  <c r="B19" i="5"/>
  <c r="C18" i="5"/>
  <c r="B17" i="5"/>
  <c r="C16" i="5"/>
  <c r="C13" i="5"/>
  <c r="C22" i="5"/>
  <c r="C15" i="5"/>
  <c r="B104" i="5"/>
  <c r="B101" i="5"/>
  <c r="C89" i="5"/>
  <c r="B88" i="5"/>
  <c r="B85" i="5"/>
  <c r="B74" i="5"/>
  <c r="B69" i="5"/>
  <c r="C68" i="5"/>
  <c r="C66" i="5"/>
  <c r="C61" i="5"/>
  <c r="B60" i="5"/>
  <c r="C58" i="5"/>
  <c r="C54" i="5"/>
  <c r="C53" i="5"/>
  <c r="C50" i="5"/>
  <c r="C46" i="5"/>
  <c r="C45" i="5"/>
  <c r="B42" i="5"/>
  <c r="B38" i="5"/>
  <c r="C37" i="5"/>
  <c r="C35" i="5"/>
  <c r="C33" i="5"/>
  <c r="B31" i="5"/>
  <c r="C30" i="5"/>
  <c r="C23" i="5"/>
  <c r="B20" i="5"/>
  <c r="B18" i="5"/>
  <c r="B16" i="5"/>
  <c r="B13" i="5"/>
  <c r="C12" i="5"/>
  <c r="B106" i="5"/>
  <c r="C100" i="5"/>
  <c r="C94" i="5"/>
  <c r="B83" i="5"/>
  <c r="B82" i="5"/>
  <c r="C80" i="5"/>
  <c r="C77" i="5"/>
  <c r="C73" i="5"/>
  <c r="B71" i="5"/>
  <c r="C70" i="5"/>
  <c r="B66" i="5"/>
  <c r="C64" i="5"/>
  <c r="B62" i="5"/>
  <c r="B61" i="5"/>
  <c r="C59" i="5"/>
  <c r="B58" i="5"/>
  <c r="C56" i="5"/>
  <c r="B54" i="5"/>
  <c r="B53" i="5"/>
  <c r="C51" i="5"/>
  <c r="C48" i="5"/>
  <c r="C47" i="5"/>
  <c r="B46" i="5"/>
  <c r="C43" i="5"/>
  <c r="B40" i="5"/>
  <c r="B37" i="5"/>
  <c r="C36" i="5"/>
  <c r="B35" i="5"/>
  <c r="C34" i="5"/>
  <c r="B33" i="5"/>
  <c r="C32" i="5"/>
  <c r="B30" i="5"/>
  <c r="C29" i="5"/>
  <c r="C27" i="5"/>
  <c r="C25" i="5"/>
  <c r="B23" i="5"/>
  <c r="B12" i="5"/>
  <c r="C105" i="5"/>
  <c r="C86" i="5"/>
  <c r="C84" i="5"/>
  <c r="C78" i="5"/>
  <c r="B76" i="5"/>
  <c r="B72" i="5"/>
  <c r="B67" i="5"/>
  <c r="B64" i="5"/>
  <c r="C63" i="5"/>
  <c r="B59" i="5"/>
  <c r="C57" i="5"/>
  <c r="B56" i="5"/>
  <c r="B55" i="5"/>
  <c r="B51" i="5"/>
  <c r="C49" i="5"/>
  <c r="B47" i="5"/>
  <c r="C41" i="5"/>
  <c r="C39" i="5"/>
  <c r="B36" i="5"/>
  <c r="B34" i="5"/>
  <c r="B32" i="5"/>
  <c r="B29" i="5"/>
  <c r="C28" i="5"/>
  <c r="B27" i="5"/>
  <c r="C26" i="5"/>
  <c r="B25" i="5"/>
  <c r="C24" i="5"/>
  <c r="B22" i="5"/>
  <c r="C21" i="5"/>
  <c r="C19" i="5"/>
  <c r="C17" i="5"/>
  <c r="B15"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F25" i="6"/>
  <c r="B40" i="6"/>
  <c r="G40" i="6" s="1"/>
  <c r="F26" i="6"/>
  <c r="F36" i="6" s="1"/>
  <c r="B30" i="6"/>
  <c r="G30" i="6" s="1"/>
  <c r="B41" i="6"/>
  <c r="G21" i="6"/>
  <c r="H21" i="6" s="1"/>
  <c r="B26" i="6"/>
  <c r="B36" i="6"/>
  <c r="B46" i="6"/>
  <c r="G46" i="6" s="1"/>
  <c r="G31" i="6"/>
  <c r="H22" i="6"/>
  <c r="D22" i="6" s="1"/>
  <c r="G47" i="6"/>
  <c r="G42" i="6"/>
  <c r="G26" i="6"/>
  <c r="K65" i="6"/>
  <c r="C65" i="6" s="1"/>
  <c r="G27" i="6"/>
  <c r="H27" i="6" s="1"/>
  <c r="G32" i="6"/>
  <c r="G43" i="6"/>
  <c r="G38" i="6"/>
  <c r="G35" i="6"/>
  <c r="G33" i="6"/>
  <c r="G41" i="6"/>
  <c r="G37" i="6"/>
  <c r="G48" i="6"/>
  <c r="F28" i="6"/>
  <c r="F50" i="6" s="1"/>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F32" i="6"/>
  <c r="F47" i="6"/>
  <c r="H47" i="6" s="1"/>
  <c r="F37" i="6"/>
  <c r="F64" i="6"/>
  <c r="F42" i="6"/>
  <c r="H42" i="6" s="1"/>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64" i="6" s="1"/>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63" i="6" l="1"/>
  <c r="H26" i="6"/>
  <c r="C26" i="6" s="1"/>
  <c r="F41" i="6"/>
  <c r="H41" i="6" s="1"/>
  <c r="H36" i="6"/>
  <c r="C36" i="6" s="1"/>
  <c r="H37" i="6"/>
  <c r="H25" i="6"/>
  <c r="C25" i="6" s="1"/>
  <c r="V57" i="5"/>
  <c r="R57" i="5" s="1"/>
  <c r="V541" i="5"/>
  <c r="F541" i="5" s="1"/>
  <c r="V73" i="5"/>
  <c r="R73" i="5" s="1"/>
  <c r="V33" i="5"/>
  <c r="G33" i="5" s="1"/>
  <c r="V17" i="5"/>
  <c r="F17" i="5" s="1"/>
  <c r="V468" i="5"/>
  <c r="E468" i="5" s="1"/>
  <c r="AB8" i="5"/>
  <c r="V28" i="5"/>
  <c r="AB67" i="5"/>
  <c r="AB23" i="5"/>
  <c r="AB35" i="5"/>
  <c r="V51" i="5"/>
  <c r="G51" i="5" s="1"/>
  <c r="AB58" i="5"/>
  <c r="V64" i="5"/>
  <c r="AB83" i="5"/>
  <c r="AB10" i="5"/>
  <c r="V12" i="5"/>
  <c r="G12" i="5" s="1"/>
  <c r="AB20" i="5"/>
  <c r="AB42" i="5"/>
  <c r="V61" i="5"/>
  <c r="G61" i="5" s="1"/>
  <c r="AB101" i="5"/>
  <c r="V22" i="5"/>
  <c r="V6" i="5"/>
  <c r="G6" i="5" s="1"/>
  <c r="V13" i="5"/>
  <c r="V18" i="5"/>
  <c r="G18" i="5" s="1"/>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G14" i="5" s="1"/>
  <c r="V21" i="5"/>
  <c r="G21" i="5" s="1"/>
  <c r="V26" i="5"/>
  <c r="G26" i="5" s="1"/>
  <c r="AB32" i="5"/>
  <c r="V41" i="5"/>
  <c r="AB55" i="5"/>
  <c r="V63" i="5"/>
  <c r="G63" i="5" s="1"/>
  <c r="AB76" i="5"/>
  <c r="V105" i="5"/>
  <c r="V27" i="5"/>
  <c r="G27" i="5" s="1"/>
  <c r="AB33" i="5"/>
  <c r="AB37" i="5"/>
  <c r="V47" i="5"/>
  <c r="G47" i="5" s="1"/>
  <c r="AB54" i="5"/>
  <c r="AB61" i="5"/>
  <c r="V70" i="5"/>
  <c r="G70" i="5" s="1"/>
  <c r="V80" i="5"/>
  <c r="G80" i="5" s="1"/>
  <c r="V100" i="5"/>
  <c r="AB9" i="5"/>
  <c r="AB16" i="5"/>
  <c r="V30" i="5"/>
  <c r="G30" i="5" s="1"/>
  <c r="V37" i="5"/>
  <c r="G37" i="5" s="1"/>
  <c r="V46" i="5"/>
  <c r="G46" i="5" s="1"/>
  <c r="V58" i="5"/>
  <c r="G58" i="5" s="1"/>
  <c r="V68" i="5"/>
  <c r="G68" i="5" s="1"/>
  <c r="AB88" i="5"/>
  <c r="AB5" i="5"/>
  <c r="V8" i="5"/>
  <c r="G8" i="5" s="1"/>
  <c r="V9" i="5"/>
  <c r="V16" i="5"/>
  <c r="G16" i="5" s="1"/>
  <c r="V20" i="5"/>
  <c r="G20" i="5" s="1"/>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G40" i="5" s="1"/>
  <c r="V44" i="5"/>
  <c r="G44" i="5" s="1"/>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78" i="5" s="1"/>
  <c r="AB12" i="5"/>
  <c r="V29" i="5"/>
  <c r="G29" i="5" s="1"/>
  <c r="V34" i="5"/>
  <c r="G34" i="5" s="1"/>
  <c r="AB40" i="5"/>
  <c r="V48" i="5"/>
  <c r="V56" i="5"/>
  <c r="G56" i="5" s="1"/>
  <c r="AB62" i="5"/>
  <c r="AB71" i="5"/>
  <c r="AB82" i="5"/>
  <c r="AB106" i="5"/>
  <c r="AB11" i="5"/>
  <c r="AB18" i="5"/>
  <c r="AB31" i="5"/>
  <c r="AB38" i="5"/>
  <c r="V50" i="5"/>
  <c r="AB60" i="5"/>
  <c r="AB69" i="5"/>
  <c r="V89" i="5"/>
  <c r="V15" i="5"/>
  <c r="G15" i="5" s="1"/>
  <c r="V10" i="5"/>
  <c r="G10" i="5" s="1"/>
  <c r="V11" i="5"/>
  <c r="G11" i="5" s="1"/>
  <c r="AB17" i="5"/>
  <c r="AB21"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G24" i="5" s="1"/>
  <c r="AB36" i="5"/>
  <c r="V49" i="5"/>
  <c r="G49" i="5" s="1"/>
  <c r="V84" i="5"/>
  <c r="AB30" i="5"/>
  <c r="V43" i="5"/>
  <c r="G43" i="5" s="1"/>
  <c r="V53" i="5"/>
  <c r="G53" i="5" s="1"/>
  <c r="AB74" i="5"/>
  <c r="V38" i="5"/>
  <c r="G38" i="5" s="1"/>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G42" i="5" s="1"/>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7" i="5"/>
  <c r="G7" i="5" s="1"/>
  <c r="V19" i="5"/>
  <c r="AB25" i="5"/>
  <c r="AB29" i="5"/>
  <c r="V39" i="5"/>
  <c r="AB51" i="5"/>
  <c r="AB59" i="5"/>
  <c r="AB72" i="5"/>
  <c r="V86" i="5"/>
  <c r="V25" i="5"/>
  <c r="V32" i="5"/>
  <c r="G32" i="5" s="1"/>
  <c r="V36" i="5"/>
  <c r="G36" i="5" s="1"/>
  <c r="AB46" i="5"/>
  <c r="AB53" i="5"/>
  <c r="V59" i="5"/>
  <c r="G59" i="5" s="1"/>
  <c r="AB66" i="5"/>
  <c r="V77" i="5"/>
  <c r="G77" i="5" s="1"/>
  <c r="V94" i="5"/>
  <c r="G94" i="5" s="1"/>
  <c r="V5" i="5"/>
  <c r="G5" i="5" s="1"/>
  <c r="AB13" i="5"/>
  <c r="V23" i="5"/>
  <c r="G23" i="5" s="1"/>
  <c r="V35" i="5"/>
  <c r="V45" i="5"/>
  <c r="G45" i="5" s="1"/>
  <c r="V54" i="5"/>
  <c r="G54" i="5" s="1"/>
  <c r="V66" i="5"/>
  <c r="G66" i="5" s="1"/>
  <c r="AB85" i="5"/>
  <c r="AB104" i="5"/>
  <c r="AB6" i="5"/>
  <c r="AB7"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C62" i="6" s="1"/>
  <c r="F45" i="6"/>
  <c r="H45" i="6" s="1"/>
  <c r="F62" i="6"/>
  <c r="B2" i="6" s="1"/>
  <c r="F40" i="6"/>
  <c r="H40" i="6" s="1"/>
  <c r="D40" i="6" s="1"/>
  <c r="F35" i="6"/>
  <c r="H35" i="6" s="1"/>
  <c r="F30" i="6"/>
  <c r="H30" i="6" s="1"/>
  <c r="F46" i="6"/>
  <c r="H46" i="6" s="1"/>
  <c r="F31" i="6"/>
  <c r="H31" i="6" s="1"/>
  <c r="D31" i="6" s="1"/>
  <c r="C20" i="6"/>
  <c r="D21" i="6"/>
  <c r="C21" i="6"/>
  <c r="K63" i="6"/>
  <c r="C63" i="6" s="1"/>
  <c r="D26" i="6"/>
  <c r="H32" i="6"/>
  <c r="C32" i="6" s="1"/>
  <c r="C22" i="6"/>
  <c r="F38" i="6"/>
  <c r="H38" i="6" s="1"/>
  <c r="F43" i="6"/>
  <c r="H43" i="6" s="1"/>
  <c r="H28" i="6"/>
  <c r="F65" i="6"/>
  <c r="F33" i="6"/>
  <c r="H33" i="6" s="1"/>
  <c r="F48" i="6"/>
  <c r="H48" i="6" s="1"/>
  <c r="F66" i="6"/>
  <c r="C66" i="6" s="1"/>
  <c r="C42" i="6"/>
  <c r="D42" i="6"/>
  <c r="D3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6" i="5"/>
  <c r="T466" i="5"/>
  <c r="D25" i="6" l="1"/>
  <c r="D36" i="6"/>
  <c r="C41" i="6"/>
  <c r="D41" i="6"/>
  <c r="D35" i="6"/>
  <c r="C35" i="6"/>
  <c r="G57" i="5"/>
  <c r="I57" i="5"/>
  <c r="E57" i="5"/>
  <c r="I541" i="5"/>
  <c r="G541" i="5"/>
  <c r="E541" i="5"/>
  <c r="H541" i="5"/>
  <c r="J57" i="5"/>
  <c r="R541" i="5"/>
  <c r="F57" i="5"/>
  <c r="H57" i="5"/>
  <c r="G73" i="5"/>
  <c r="F468" i="5"/>
  <c r="J541" i="5"/>
  <c r="F73" i="5"/>
  <c r="H73" i="5"/>
  <c r="J73" i="5"/>
  <c r="I73" i="5"/>
  <c r="J33" i="5"/>
  <c r="R33" i="5"/>
  <c r="I17" i="5"/>
  <c r="R17" i="5"/>
  <c r="H17" i="5"/>
  <c r="F33" i="5"/>
  <c r="I33" i="5"/>
  <c r="E33" i="5"/>
  <c r="E73" i="5"/>
  <c r="X73" i="5" s="1"/>
  <c r="J17" i="5"/>
  <c r="J468" i="5"/>
  <c r="H468" i="5"/>
  <c r="R468" i="5"/>
  <c r="G468" i="5"/>
  <c r="I468" i="5"/>
  <c r="E17" i="5"/>
  <c r="G17" i="5"/>
  <c r="H33"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I35" i="5"/>
  <c r="J35" i="5"/>
  <c r="F35" i="5"/>
  <c r="E35" i="5"/>
  <c r="R35" i="5"/>
  <c r="H35" i="5"/>
  <c r="E86" i="5"/>
  <c r="H86" i="5"/>
  <c r="R86" i="5"/>
  <c r="I86" i="5"/>
  <c r="J86" i="5"/>
  <c r="F86" i="5"/>
  <c r="I39" i="5"/>
  <c r="E39" i="5"/>
  <c r="J39" i="5"/>
  <c r="F39" i="5"/>
  <c r="R39" i="5"/>
  <c r="H39" i="5"/>
  <c r="I19" i="5"/>
  <c r="R19" i="5"/>
  <c r="E19" i="5"/>
  <c r="J19" i="5"/>
  <c r="H19" i="5"/>
  <c r="F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77" i="5"/>
  <c r="I77" i="5"/>
  <c r="H77" i="5"/>
  <c r="E77" i="5"/>
  <c r="J77" i="5"/>
  <c r="G25" i="5"/>
  <c r="I25" i="5"/>
  <c r="F25" i="5"/>
  <c r="H25" i="5"/>
  <c r="J25" i="5"/>
  <c r="R25" i="5"/>
  <c r="E25" i="5"/>
  <c r="H255" i="5"/>
  <c r="R255" i="5"/>
  <c r="F255" i="5"/>
  <c r="J255" i="5"/>
  <c r="E255" i="5"/>
  <c r="I255" i="5"/>
  <c r="H52" i="5"/>
  <c r="J52" i="5"/>
  <c r="I52" i="5"/>
  <c r="F52" i="5"/>
  <c r="R52" i="5"/>
  <c r="E52" i="5"/>
  <c r="G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X541"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95" i="5"/>
  <c r="F95" i="5"/>
  <c r="E95" i="5"/>
  <c r="I95" i="5"/>
  <c r="J95" i="5"/>
  <c r="G35" i="5"/>
  <c r="E23" i="5"/>
  <c r="I23" i="5"/>
  <c r="H23" i="5"/>
  <c r="R23" i="5"/>
  <c r="F23" i="5"/>
  <c r="J23" i="5"/>
  <c r="E94" i="5"/>
  <c r="H94" i="5"/>
  <c r="R94" i="5"/>
  <c r="I94" i="5"/>
  <c r="J94" i="5"/>
  <c r="F94" i="5"/>
  <c r="G86" i="5"/>
  <c r="G39" i="5"/>
  <c r="G19" i="5"/>
  <c r="I7" i="5"/>
  <c r="E7" i="5"/>
  <c r="J7" i="5"/>
  <c r="F7" i="5"/>
  <c r="R7" i="5"/>
  <c r="H7"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X33"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E5" i="5"/>
  <c r="R5" i="5"/>
  <c r="I5" i="5"/>
  <c r="J5" i="5"/>
  <c r="H5" i="5"/>
  <c r="F5" i="5"/>
  <c r="H227" i="5"/>
  <c r="I227" i="5"/>
  <c r="R227" i="5"/>
  <c r="F227" i="5"/>
  <c r="J227" i="5"/>
  <c r="E227" i="5"/>
  <c r="R280" i="5"/>
  <c r="H280" i="5"/>
  <c r="F280" i="5"/>
  <c r="J280" i="5"/>
  <c r="I280" i="5"/>
  <c r="E280" i="5"/>
  <c r="H132" i="5"/>
  <c r="E132" i="5"/>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H54" i="5"/>
  <c r="J54" i="5"/>
  <c r="E54" i="5"/>
  <c r="F54" i="5"/>
  <c r="R54" i="5"/>
  <c r="I54" i="5"/>
  <c r="H32" i="5"/>
  <c r="R32" i="5"/>
  <c r="F32" i="5"/>
  <c r="J32" i="5"/>
  <c r="E32" i="5"/>
  <c r="I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H66" i="5"/>
  <c r="J66" i="5"/>
  <c r="E66" i="5"/>
  <c r="F66" i="5"/>
  <c r="R66" i="5"/>
  <c r="I66" i="5"/>
  <c r="E45" i="5"/>
  <c r="F45" i="5"/>
  <c r="H45" i="5"/>
  <c r="I45" i="5"/>
  <c r="J45" i="5"/>
  <c r="R45" i="5"/>
  <c r="I59" i="5"/>
  <c r="E59" i="5"/>
  <c r="H59" i="5"/>
  <c r="R59" i="5"/>
  <c r="F59" i="5"/>
  <c r="J59" i="5"/>
  <c r="H36" i="5"/>
  <c r="R36" i="5"/>
  <c r="F36" i="5"/>
  <c r="J36" i="5"/>
  <c r="E36" i="5"/>
  <c r="I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E53" i="5"/>
  <c r="R53" i="5"/>
  <c r="J53" i="5"/>
  <c r="H53" i="5"/>
  <c r="I53" i="5"/>
  <c r="F53" i="5"/>
  <c r="I43" i="5"/>
  <c r="H43" i="5"/>
  <c r="R43" i="5"/>
  <c r="F43" i="5"/>
  <c r="E43" i="5"/>
  <c r="J43" i="5"/>
  <c r="I49" i="5"/>
  <c r="J49" i="5"/>
  <c r="E49" i="5"/>
  <c r="H49" i="5"/>
  <c r="R49" i="5"/>
  <c r="F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H50" i="5"/>
  <c r="R50" i="5"/>
  <c r="E50" i="5"/>
  <c r="J50" i="5"/>
  <c r="I50" i="5"/>
  <c r="F50" i="5"/>
  <c r="H48" i="5"/>
  <c r="F48" i="5"/>
  <c r="R48" i="5"/>
  <c r="E48" i="5"/>
  <c r="J48" i="5"/>
  <c r="I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H16" i="5"/>
  <c r="I16" i="5"/>
  <c r="F16" i="5"/>
  <c r="R16" i="5"/>
  <c r="J16" i="5"/>
  <c r="E16"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E13" i="5"/>
  <c r="H13" i="5"/>
  <c r="R13" i="5"/>
  <c r="I13" i="5"/>
  <c r="F13" i="5"/>
  <c r="J13" i="5"/>
  <c r="H22" i="5"/>
  <c r="R22" i="5"/>
  <c r="F22" i="5"/>
  <c r="I22" i="5"/>
  <c r="J22" i="5"/>
  <c r="E22" i="5"/>
  <c r="H64" i="5"/>
  <c r="J64" i="5"/>
  <c r="E64" i="5"/>
  <c r="F64" i="5"/>
  <c r="R64" i="5"/>
  <c r="I64" i="5"/>
  <c r="H28" i="5"/>
  <c r="R28" i="5"/>
  <c r="F28" i="5"/>
  <c r="J28" i="5"/>
  <c r="E28" i="5"/>
  <c r="I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H62" i="5"/>
  <c r="I62" i="5"/>
  <c r="F62" i="5"/>
  <c r="R62" i="5"/>
  <c r="E62" i="5"/>
  <c r="J62" i="5"/>
  <c r="I123" i="5"/>
  <c r="R123" i="5"/>
  <c r="J123" i="5"/>
  <c r="E123" i="5"/>
  <c r="H123" i="5"/>
  <c r="F123" i="5"/>
  <c r="H24" i="5"/>
  <c r="J24" i="5"/>
  <c r="R24" i="5"/>
  <c r="F24" i="5"/>
  <c r="E24" i="5"/>
  <c r="I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I55" i="5"/>
  <c r="E55" i="5"/>
  <c r="H55" i="5"/>
  <c r="R55" i="5"/>
  <c r="F55" i="5"/>
  <c r="J55" i="5"/>
  <c r="H148" i="5"/>
  <c r="E148" i="5"/>
  <c r="R148" i="5"/>
  <c r="F148" i="5"/>
  <c r="J148" i="5"/>
  <c r="I148" i="5"/>
  <c r="R156" i="5"/>
  <c r="H156" i="5"/>
  <c r="E156" i="5"/>
  <c r="F156" i="5"/>
  <c r="J156" i="5"/>
  <c r="I156" i="5"/>
  <c r="R127" i="5"/>
  <c r="H127" i="5"/>
  <c r="E127" i="5"/>
  <c r="F127" i="5"/>
  <c r="I127" i="5"/>
  <c r="J127" i="5"/>
  <c r="R92" i="5"/>
  <c r="H92" i="5"/>
  <c r="E92" i="5"/>
  <c r="F92" i="5"/>
  <c r="J92" i="5"/>
  <c r="I92" i="5"/>
  <c r="I31" i="5"/>
  <c r="E31" i="5"/>
  <c r="F31" i="5"/>
  <c r="H31" i="5"/>
  <c r="J31" i="5"/>
  <c r="R31" i="5"/>
  <c r="I11" i="5"/>
  <c r="R11" i="5"/>
  <c r="E11" i="5"/>
  <c r="J11" i="5"/>
  <c r="H11" i="5"/>
  <c r="F11" i="5"/>
  <c r="H56" i="5"/>
  <c r="R56" i="5"/>
  <c r="F56" i="5"/>
  <c r="E56" i="5"/>
  <c r="J56" i="5"/>
  <c r="I56" i="5"/>
  <c r="H34" i="5"/>
  <c r="R34" i="5"/>
  <c r="F34" i="5"/>
  <c r="J34" i="5"/>
  <c r="E34" i="5"/>
  <c r="I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H60" i="5"/>
  <c r="R60" i="5"/>
  <c r="F60" i="5"/>
  <c r="J60" i="5"/>
  <c r="I60" i="5"/>
  <c r="E60" i="5"/>
  <c r="G9" i="5"/>
  <c r="I9" i="5"/>
  <c r="H9" i="5"/>
  <c r="E9" i="5"/>
  <c r="R9" i="5"/>
  <c r="F9" i="5"/>
  <c r="J9" i="5"/>
  <c r="H58" i="5"/>
  <c r="R58" i="5"/>
  <c r="F58" i="5"/>
  <c r="E58" i="5"/>
  <c r="J58" i="5"/>
  <c r="I58" i="5"/>
  <c r="E37" i="5"/>
  <c r="H37" i="5"/>
  <c r="I37" i="5"/>
  <c r="R37" i="5"/>
  <c r="F37" i="5"/>
  <c r="J37" i="5"/>
  <c r="H70" i="5"/>
  <c r="J70" i="5"/>
  <c r="E70" i="5"/>
  <c r="I70" i="5"/>
  <c r="F70" i="5"/>
  <c r="R70" i="5"/>
  <c r="E21" i="5"/>
  <c r="F21" i="5"/>
  <c r="H21" i="5"/>
  <c r="J21" i="5"/>
  <c r="R21" i="5"/>
  <c r="I21"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75" i="5"/>
  <c r="E75" i="5"/>
  <c r="F75" i="5"/>
  <c r="I75" i="5"/>
  <c r="J75" i="5"/>
  <c r="E61" i="5"/>
  <c r="H61" i="5"/>
  <c r="R61" i="5"/>
  <c r="F61" i="5"/>
  <c r="I61" i="5"/>
  <c r="J61" i="5"/>
  <c r="H12" i="5"/>
  <c r="J12" i="5"/>
  <c r="E12" i="5"/>
  <c r="I12" i="5"/>
  <c r="R12" i="5"/>
  <c r="F12"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E15" i="5"/>
  <c r="I15" i="5"/>
  <c r="R15" i="5"/>
  <c r="J15" i="5"/>
  <c r="H15" i="5"/>
  <c r="F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H40" i="5"/>
  <c r="I40" i="5"/>
  <c r="F40" i="5"/>
  <c r="R40" i="5"/>
  <c r="E40" i="5"/>
  <c r="J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G60" i="5"/>
  <c r="H20" i="5"/>
  <c r="I20" i="5"/>
  <c r="R20" i="5"/>
  <c r="J20" i="5"/>
  <c r="E20" i="5"/>
  <c r="F20" i="5"/>
  <c r="H8" i="5"/>
  <c r="J8" i="5"/>
  <c r="E8" i="5"/>
  <c r="I8" i="5"/>
  <c r="R8" i="5"/>
  <c r="F8" i="5"/>
  <c r="G100" i="5"/>
  <c r="E47" i="5"/>
  <c r="I47" i="5"/>
  <c r="R47" i="5"/>
  <c r="J47" i="5"/>
  <c r="H47" i="5"/>
  <c r="F47" i="5"/>
  <c r="I27" i="5"/>
  <c r="E27" i="5"/>
  <c r="F27" i="5"/>
  <c r="H27" i="5"/>
  <c r="J27" i="5"/>
  <c r="R27" i="5"/>
  <c r="I63" i="5"/>
  <c r="E63" i="5"/>
  <c r="H63" i="5"/>
  <c r="J63" i="5"/>
  <c r="F63" i="5"/>
  <c r="R63" i="5"/>
  <c r="G41" i="5"/>
  <c r="I41" i="5"/>
  <c r="F41" i="5"/>
  <c r="E41" i="5"/>
  <c r="H41" i="5"/>
  <c r="J41"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H18" i="5"/>
  <c r="I18" i="5"/>
  <c r="R18" i="5"/>
  <c r="J18" i="5"/>
  <c r="E18" i="5"/>
  <c r="F18" i="5"/>
  <c r="H6" i="5"/>
  <c r="I6" i="5"/>
  <c r="R6" i="5"/>
  <c r="F6" i="5"/>
  <c r="J6" i="5"/>
  <c r="E6" i="5"/>
  <c r="I51" i="5"/>
  <c r="E51" i="5"/>
  <c r="H51" i="5"/>
  <c r="R51" i="5"/>
  <c r="F51" i="5"/>
  <c r="J51" i="5"/>
  <c r="H42" i="5"/>
  <c r="I42" i="5"/>
  <c r="R42" i="5"/>
  <c r="E42" i="5"/>
  <c r="J42" i="5"/>
  <c r="F42"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H38" i="5"/>
  <c r="I38" i="5"/>
  <c r="R38" i="5"/>
  <c r="F38" i="5"/>
  <c r="J38" i="5"/>
  <c r="E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H10" i="5"/>
  <c r="J10" i="5"/>
  <c r="E10" i="5"/>
  <c r="I10" i="5"/>
  <c r="R10" i="5"/>
  <c r="F10" i="5"/>
  <c r="G89" i="5"/>
  <c r="G50" i="5"/>
  <c r="G48" i="5"/>
  <c r="E29" i="5"/>
  <c r="J29" i="5"/>
  <c r="F29" i="5"/>
  <c r="R29" i="5"/>
  <c r="I29" i="5"/>
  <c r="H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G65" i="5"/>
  <c r="I65" i="5"/>
  <c r="H65" i="5"/>
  <c r="R65" i="5"/>
  <c r="F65" i="5"/>
  <c r="E65" i="5"/>
  <c r="J65" i="5"/>
  <c r="H44" i="5"/>
  <c r="I44" i="5"/>
  <c r="J44" i="5"/>
  <c r="F44" i="5"/>
  <c r="R44" i="5"/>
  <c r="E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H46" i="5"/>
  <c r="R46" i="5"/>
  <c r="F46" i="5"/>
  <c r="E46" i="5"/>
  <c r="J46" i="5"/>
  <c r="I46" i="5"/>
  <c r="H30" i="5"/>
  <c r="J30" i="5"/>
  <c r="E30" i="5"/>
  <c r="I30" i="5"/>
  <c r="R30" i="5"/>
  <c r="F30" i="5"/>
  <c r="R80" i="5"/>
  <c r="E80" i="5"/>
  <c r="H80" i="5"/>
  <c r="J80" i="5"/>
  <c r="I80" i="5"/>
  <c r="F80" i="5"/>
  <c r="G105" i="5"/>
  <c r="H26" i="5"/>
  <c r="R26" i="5"/>
  <c r="F26" i="5"/>
  <c r="J26" i="5"/>
  <c r="E26" i="5"/>
  <c r="I26" i="5"/>
  <c r="H14" i="5"/>
  <c r="R14" i="5"/>
  <c r="F14" i="5"/>
  <c r="J14" i="5"/>
  <c r="E14" i="5"/>
  <c r="I14"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G13" i="5"/>
  <c r="G22" i="5"/>
  <c r="G28" i="5"/>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74" i="5"/>
  <c r="T445" i="5"/>
  <c r="T397" i="5"/>
  <c r="T400" i="5"/>
  <c r="T420" i="5"/>
  <c r="T414" i="5"/>
  <c r="T362" i="5"/>
  <c r="T396" i="5"/>
  <c r="T363" i="5"/>
  <c r="T399" i="5"/>
  <c r="T401" i="5"/>
  <c r="T497" i="5"/>
  <c r="T361" i="5"/>
  <c r="S57" i="5"/>
  <c r="T360" i="5"/>
  <c r="T57"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73" i="5"/>
  <c r="T33" i="5"/>
  <c r="T17" i="5"/>
  <c r="T468" i="5"/>
  <c r="S17" i="5"/>
  <c r="T350" i="5"/>
  <c r="T204" i="5"/>
  <c r="T149" i="5"/>
  <c r="T457" i="5"/>
  <c r="T220" i="5"/>
  <c r="T173" i="5"/>
  <c r="T77" i="5"/>
  <c r="T524" i="5"/>
  <c r="T536" i="5"/>
  <c r="T450" i="5"/>
  <c r="T471" i="5"/>
  <c r="T404" i="5"/>
  <c r="T272" i="5"/>
  <c r="T124" i="5"/>
  <c r="T574" i="5"/>
  <c r="T412" i="5"/>
  <c r="T562" i="5"/>
  <c r="T147" i="5"/>
  <c r="T71" i="5"/>
  <c r="T215" i="5"/>
  <c r="T283" i="5"/>
  <c r="T135" i="5"/>
  <c r="T577" i="5"/>
  <c r="T222" i="5"/>
  <c r="T130" i="5"/>
  <c r="T475" i="5"/>
  <c r="T548" i="5"/>
  <c r="T539" i="5"/>
  <c r="T463" i="5"/>
  <c r="T481" i="5"/>
  <c r="T451" i="5"/>
  <c r="T382" i="5"/>
  <c r="T122" i="5"/>
  <c r="T102" i="5"/>
  <c r="T45" i="5"/>
  <c r="T209" i="5"/>
  <c r="T87" i="5"/>
  <c r="T517" i="5"/>
  <c r="T207" i="5"/>
  <c r="T174" i="5"/>
  <c r="T528" i="5"/>
  <c r="T415" i="5"/>
  <c r="T349" i="5"/>
  <c r="T192" i="5"/>
  <c r="T260" i="5"/>
  <c r="T190" i="5"/>
  <c r="T139" i="5"/>
  <c r="T50" i="5"/>
  <c r="T532" i="5"/>
  <c r="T516" i="5"/>
  <c r="T470" i="5"/>
  <c r="T448" i="5"/>
  <c r="T354" i="5"/>
  <c r="T223" i="5"/>
  <c r="T374" i="5"/>
  <c r="T515" i="5"/>
  <c r="T206" i="5"/>
  <c r="T62" i="5"/>
  <c r="T24" i="5"/>
  <c r="T491" i="5"/>
  <c r="T535" i="5"/>
  <c r="T472" i="5"/>
  <c r="T357" i="5"/>
  <c r="T247" i="5"/>
  <c r="T168" i="5"/>
  <c r="T148" i="5"/>
  <c r="T31" i="5"/>
  <c r="T56" i="5"/>
  <c r="T78" i="5"/>
  <c r="T403" i="5"/>
  <c r="T538" i="5"/>
  <c r="T278" i="5"/>
  <c r="T189" i="5"/>
  <c r="T72" i="5"/>
  <c r="T91" i="5"/>
  <c r="T37" i="5"/>
  <c r="T61" i="5"/>
  <c r="T244" i="5"/>
  <c r="T208" i="5"/>
  <c r="T90" i="5"/>
  <c r="T182" i="5"/>
  <c r="T153" i="5"/>
  <c r="T118" i="5"/>
  <c r="T179" i="5"/>
  <c r="T162" i="5"/>
  <c r="T145" i="5"/>
  <c r="T542" i="5"/>
  <c r="T509" i="5"/>
  <c r="T579" i="5"/>
  <c r="T351" i="5"/>
  <c r="T88" i="5"/>
  <c r="T143" i="5"/>
  <c r="T191" i="5"/>
  <c r="T128" i="5"/>
  <c r="T163" i="5"/>
  <c r="T51" i="5"/>
  <c r="T99" i="5"/>
  <c r="T537" i="5"/>
  <c r="T489" i="5"/>
  <c r="T409" i="5"/>
  <c r="T380" i="5"/>
  <c r="T230" i="5"/>
  <c r="T74" i="5"/>
  <c r="T534" i="5"/>
  <c r="T464" i="5"/>
  <c r="T378" i="5"/>
  <c r="T352" i="5"/>
  <c r="T365" i="5"/>
  <c r="T253" i="5"/>
  <c r="T197" i="5"/>
  <c r="T233" i="5"/>
  <c r="T141" i="5"/>
  <c r="T112" i="5"/>
  <c r="T571" i="5"/>
  <c r="T436" i="5"/>
  <c r="T413" i="5"/>
  <c r="T462" i="5"/>
  <c r="T376" i="5"/>
  <c r="T406" i="5"/>
  <c r="T447" i="5"/>
  <c r="T257" i="5"/>
  <c r="T248" i="5"/>
  <c r="T138" i="5"/>
  <c r="T131" i="5"/>
  <c r="T68" i="5"/>
  <c r="T30" i="5"/>
  <c r="T80" i="5"/>
  <c r="T157" i="5"/>
  <c r="T82" i="5"/>
  <c r="T42" i="5"/>
  <c r="T565" i="5"/>
  <c r="T455" i="5"/>
  <c r="T140" i="5"/>
  <c r="T270" i="5"/>
  <c r="T103" i="5"/>
  <c r="T558" i="5"/>
  <c r="T442" i="5"/>
  <c r="T353" i="5"/>
  <c r="T194" i="5"/>
  <c r="T160" i="5"/>
  <c r="T101" i="5"/>
  <c r="T44" i="5"/>
  <c r="T161" i="5"/>
  <c r="T46" i="5"/>
  <c r="T14" i="5"/>
  <c r="T133" i="5"/>
  <c r="T499" i="5"/>
  <c r="T381" i="5"/>
  <c r="T35" i="5"/>
  <c r="T19" i="5"/>
  <c r="T512" i="5"/>
  <c r="T458" i="5"/>
  <c r="T158" i="5"/>
  <c r="T25" i="5"/>
  <c r="T552" i="5"/>
  <c r="T483" i="5"/>
  <c r="T423" i="5"/>
  <c r="T267" i="5"/>
  <c r="T109" i="5"/>
  <c r="T180" i="5"/>
  <c r="T488" i="5"/>
  <c r="T561" i="5"/>
  <c r="T553" i="5"/>
  <c r="T556" i="5"/>
  <c r="T527" i="5"/>
  <c r="T545" i="5"/>
  <c r="T446" i="5"/>
  <c r="T276" i="5"/>
  <c r="T144" i="5"/>
  <c r="T511" i="5"/>
  <c r="T277" i="5"/>
  <c r="T480" i="5"/>
  <c r="T269" i="5"/>
  <c r="T185" i="5"/>
  <c r="T54" i="5"/>
  <c r="T32" i="5"/>
  <c r="T271" i="5"/>
  <c r="T437" i="5"/>
  <c r="T501" i="5"/>
  <c r="T371" i="5"/>
  <c r="T251" i="5"/>
  <c r="T263" i="5"/>
  <c r="T235" i="5"/>
  <c r="T188" i="5"/>
  <c r="T107" i="5"/>
  <c r="T69" i="5"/>
  <c r="T521" i="5"/>
  <c r="T367" i="5"/>
  <c r="T368" i="5"/>
  <c r="T203" i="5"/>
  <c r="T49" i="5"/>
  <c r="T503" i="5"/>
  <c r="T238" i="5"/>
  <c r="T89" i="5"/>
  <c r="T575" i="5"/>
  <c r="T395" i="5"/>
  <c r="T375" i="5"/>
  <c r="T225" i="5"/>
  <c r="T242" i="5"/>
  <c r="T152" i="5"/>
  <c r="T142" i="5"/>
  <c r="T119" i="5"/>
  <c r="T106" i="5"/>
  <c r="T547" i="5"/>
  <c r="T560" i="5"/>
  <c r="T544" i="5"/>
  <c r="T444" i="5"/>
  <c r="T394" i="5"/>
  <c r="T217" i="5"/>
  <c r="T228" i="5"/>
  <c r="T176" i="5"/>
  <c r="T127" i="5"/>
  <c r="T34" i="5"/>
  <c r="T432" i="5"/>
  <c r="T485" i="5"/>
  <c r="T402" i="5"/>
  <c r="T356" i="5"/>
  <c r="T210" i="5"/>
  <c r="T258" i="5"/>
  <c r="T216" i="5"/>
  <c r="T125" i="5"/>
  <c r="T165" i="5"/>
  <c r="T58" i="5"/>
  <c r="T146" i="5"/>
  <c r="T449" i="5"/>
  <c r="T224" i="5"/>
  <c r="T201" i="5"/>
  <c r="T181" i="5"/>
  <c r="T67" i="5"/>
  <c r="T15" i="5"/>
  <c r="T493" i="5"/>
  <c r="T443" i="5"/>
  <c r="T478" i="5"/>
  <c r="T364" i="5"/>
  <c r="T275" i="5"/>
  <c r="T232" i="5"/>
  <c r="T164" i="5"/>
  <c r="T550" i="5"/>
  <c r="T546" i="5"/>
  <c r="T498" i="5"/>
  <c r="T549" i="5"/>
  <c r="T104" i="5"/>
  <c r="T29" i="5"/>
  <c r="T177" i="5"/>
  <c r="T86" i="5"/>
  <c r="T39" i="5"/>
  <c r="T84" i="5"/>
  <c r="T529" i="5"/>
  <c r="T377" i="5"/>
  <c r="T384" i="5"/>
  <c r="T240" i="5"/>
  <c r="S541" i="5"/>
  <c r="T554" i="5"/>
  <c r="T585" i="5"/>
  <c r="T454" i="5"/>
  <c r="T439" i="5"/>
  <c r="T359" i="5"/>
  <c r="T250" i="5"/>
  <c r="T23" i="5"/>
  <c r="T229" i="5"/>
  <c r="T495" i="5"/>
  <c r="T150" i="5"/>
  <c r="T113" i="5"/>
  <c r="T227" i="5"/>
  <c r="T262" i="5"/>
  <c r="T564" i="5"/>
  <c r="T393" i="5"/>
  <c r="T424" i="5"/>
  <c r="T555" i="5"/>
  <c r="T175" i="5"/>
  <c r="T410" i="5"/>
  <c r="T573" i="5"/>
  <c r="T121" i="5"/>
  <c r="T83" i="5"/>
  <c r="T508" i="5"/>
  <c r="T531" i="5"/>
  <c r="T467" i="5"/>
  <c r="T389" i="5"/>
  <c r="T369" i="5"/>
  <c r="T198" i="5"/>
  <c r="T214" i="5"/>
  <c r="T85" i="5"/>
  <c r="T259" i="5"/>
  <c r="T187" i="5"/>
  <c r="T584" i="5"/>
  <c r="T500" i="5"/>
  <c r="T434" i="5"/>
  <c r="T419" i="5"/>
  <c r="T422" i="5"/>
  <c r="T358" i="5"/>
  <c r="T151" i="5"/>
  <c r="T53" i="5"/>
  <c r="T563" i="5"/>
  <c r="T460" i="5"/>
  <c r="T519" i="5"/>
  <c r="T256" i="5"/>
  <c r="T154" i="5"/>
  <c r="S73" i="5"/>
  <c r="T526" i="5"/>
  <c r="T502" i="5"/>
  <c r="T510" i="5"/>
  <c r="T479" i="5"/>
  <c r="T372" i="5"/>
  <c r="T504" i="5"/>
  <c r="T438" i="5"/>
  <c r="T407" i="5"/>
  <c r="T264" i="5"/>
  <c r="T221" i="5"/>
  <c r="T281" i="5"/>
  <c r="T100" i="5"/>
  <c r="T219" i="5"/>
  <c r="T195" i="5"/>
  <c r="T13" i="5"/>
  <c r="T64" i="5"/>
  <c r="T28" i="5"/>
  <c r="T580" i="5"/>
  <c r="T416" i="5"/>
  <c r="T461" i="5"/>
  <c r="T456" i="5"/>
  <c r="T465" i="5"/>
  <c r="T425" i="5"/>
  <c r="T218" i="5"/>
  <c r="T156" i="5"/>
  <c r="T92" i="5"/>
  <c r="T490" i="5"/>
  <c r="T383" i="5"/>
  <c r="T212" i="5"/>
  <c r="T110" i="5"/>
  <c r="T70" i="5"/>
  <c r="T21" i="5"/>
  <c r="T75" i="5"/>
  <c r="T12" i="5"/>
  <c r="T115" i="5"/>
  <c r="T98" i="5"/>
  <c r="T81" i="5"/>
  <c r="T569" i="5"/>
  <c r="T379" i="5"/>
  <c r="T391" i="5"/>
  <c r="T505" i="5"/>
  <c r="T274" i="5"/>
  <c r="T196" i="5"/>
  <c r="T172" i="5"/>
  <c r="T108" i="5"/>
  <c r="T20" i="5"/>
  <c r="T27" i="5"/>
  <c r="T18" i="5"/>
  <c r="T530" i="5"/>
  <c r="T496" i="5"/>
  <c r="T578" i="5"/>
  <c r="T507" i="5"/>
  <c r="T469" i="5"/>
  <c r="T433" i="5"/>
  <c r="T418" i="5"/>
  <c r="T370" i="5"/>
  <c r="T213" i="5"/>
  <c r="T211" i="5"/>
  <c r="T167" i="5"/>
  <c r="T452" i="5"/>
  <c r="T386" i="5"/>
  <c r="T200" i="5"/>
  <c r="T65" i="5"/>
  <c r="T93" i="5"/>
  <c r="T129" i="5"/>
  <c r="T226" i="5"/>
  <c r="T186" i="5"/>
  <c r="T417" i="5"/>
  <c r="T428" i="5"/>
  <c r="T398" i="5"/>
  <c r="T241" i="5"/>
  <c r="T572" i="5"/>
  <c r="T522" i="5"/>
  <c r="T518" i="5"/>
  <c r="T567" i="5"/>
  <c r="T255" i="5"/>
  <c r="T52" i="5"/>
  <c r="T385" i="5"/>
  <c r="T441" i="5"/>
  <c r="T421" i="5"/>
  <c r="T473" i="5"/>
  <c r="T136" i="5"/>
  <c r="T116" i="5"/>
  <c r="T159" i="5"/>
  <c r="T95" i="5"/>
  <c r="T94" i="5"/>
  <c r="T430" i="5"/>
  <c r="S33" i="5"/>
  <c r="T366" i="5"/>
  <c r="T525" i="5"/>
  <c r="T199" i="5"/>
  <c r="T231" i="5"/>
  <c r="T280" i="5"/>
  <c r="T132" i="5"/>
  <c r="T551" i="5"/>
  <c r="T435" i="5"/>
  <c r="T568" i="5"/>
  <c r="S468" i="5"/>
  <c r="T273" i="5"/>
  <c r="T426" i="5"/>
  <c r="T533" i="5"/>
  <c r="T120" i="5"/>
  <c r="T405" i="5"/>
  <c r="T557" i="5"/>
  <c r="T429" i="5"/>
  <c r="T411" i="5"/>
  <c r="T388" i="5"/>
  <c r="T237" i="5"/>
  <c r="T171" i="5"/>
  <c r="T66" i="5"/>
  <c r="T59" i="5"/>
  <c r="T36" i="5"/>
  <c r="T245" i="5"/>
  <c r="T476" i="5"/>
  <c r="T440" i="5"/>
  <c r="T137" i="5"/>
  <c r="T427" i="5"/>
  <c r="T239" i="5"/>
  <c r="T261" i="5"/>
  <c r="T43" i="5"/>
  <c r="T540" i="5"/>
  <c r="T487" i="5"/>
  <c r="T373" i="5"/>
  <c r="T408" i="5"/>
  <c r="T482" i="5"/>
  <c r="T249" i="5"/>
  <c r="T234" i="5"/>
  <c r="T279" i="5"/>
  <c r="T117" i="5"/>
  <c r="T48" i="5"/>
  <c r="T453" i="5"/>
  <c r="T183" i="5"/>
  <c r="T76" i="5"/>
  <c r="T184" i="5"/>
  <c r="T16" i="5"/>
  <c r="T105" i="5"/>
  <c r="T268" i="5"/>
  <c r="T22" i="5"/>
  <c r="T492" i="5"/>
  <c r="T477" i="5"/>
  <c r="T123" i="5"/>
  <c r="T543" i="5"/>
  <c r="T576" i="5"/>
  <c r="T459" i="5"/>
  <c r="T202" i="5"/>
  <c r="T55" i="5"/>
  <c r="T523" i="5"/>
  <c r="T431" i="5"/>
  <c r="T392" i="5"/>
  <c r="T390" i="5"/>
  <c r="T252" i="5"/>
  <c r="T205" i="5"/>
  <c r="T96" i="5"/>
  <c r="T155" i="5"/>
  <c r="T60" i="5"/>
  <c r="T111" i="5"/>
  <c r="T355" i="5"/>
  <c r="T266" i="5"/>
  <c r="T265" i="5"/>
  <c r="T254" i="5"/>
  <c r="T494" i="5"/>
  <c r="T40" i="5"/>
  <c r="T79" i="5"/>
  <c r="T47" i="5"/>
  <c r="T63" i="5"/>
  <c r="T41" i="5"/>
  <c r="T282" i="5"/>
  <c r="T236" i="5"/>
  <c r="T193" i="5"/>
  <c r="T170" i="5"/>
  <c r="T166" i="5"/>
  <c r="T38" i="5"/>
  <c r="T566" i="5"/>
  <c r="T506" i="5"/>
  <c r="T126" i="5"/>
  <c r="T520" i="5"/>
  <c r="T486" i="5"/>
  <c r="T387" i="5"/>
  <c r="T246" i="5"/>
  <c r="T243" i="5"/>
  <c r="T134" i="5"/>
  <c r="T114" i="5"/>
  <c r="T97" i="5"/>
  <c r="T26" i="5"/>
  <c r="T169" i="5"/>
  <c r="T178" i="5"/>
  <c r="T11" i="5"/>
  <c r="T7" i="5"/>
  <c r="T9" i="5"/>
  <c r="T8" i="5"/>
  <c r="T10" i="5"/>
  <c r="T6" i="5"/>
  <c r="T5" i="5"/>
  <c r="X57" i="5" l="1"/>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S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H66" i="6" s="1"/>
  <c r="H67" i="6" s="1"/>
  <c r="D2" i="6" s="1"/>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112" i="5"/>
  <c r="S128" i="5"/>
  <c r="S55" i="5"/>
  <c r="S367" i="5"/>
  <c r="S120" i="5"/>
  <c r="S283" i="5"/>
  <c r="S132" i="5"/>
  <c r="S94" i="5"/>
  <c r="S473" i="5"/>
  <c r="S82" i="5"/>
  <c r="S80" i="5"/>
  <c r="S15" i="5"/>
  <c r="S279" i="5"/>
  <c r="S503" i="5"/>
  <c r="S551" i="5"/>
  <c r="S150" i="5"/>
  <c r="S86" i="5"/>
  <c r="S417" i="5"/>
  <c r="S148" i="5"/>
  <c r="S106" i="5"/>
  <c r="S508" i="5"/>
  <c r="S130" i="5"/>
  <c r="S410" i="5"/>
  <c r="S158" i="5"/>
  <c r="S90" i="5"/>
  <c r="S449" i="5"/>
  <c r="S547" i="5"/>
  <c r="S184" i="5"/>
  <c r="S174" i="5"/>
  <c r="S122" i="5"/>
  <c r="S428" i="5"/>
  <c r="S464" i="5"/>
  <c r="S226" i="5"/>
  <c r="S558" i="5"/>
  <c r="S433" i="5"/>
  <c r="S565" i="5"/>
  <c r="S478" i="5"/>
  <c r="S118" i="5"/>
  <c r="S78" i="5"/>
  <c r="S168" i="5"/>
  <c r="S444" i="5"/>
  <c r="S22" i="5"/>
  <c r="S234" i="5"/>
  <c r="S487" i="5"/>
  <c r="S434" i="5"/>
  <c r="S371" i="5"/>
  <c r="S511" i="5"/>
  <c r="S113" i="5"/>
  <c r="S116" i="5"/>
  <c r="S255" i="5"/>
  <c r="S19" i="5"/>
  <c r="S131" i="5"/>
  <c r="S169" i="5"/>
  <c r="S452" i="5"/>
  <c r="S436" i="5"/>
  <c r="S213" i="5"/>
  <c r="S352" i="5"/>
  <c r="S496" i="5"/>
  <c r="S74" i="5"/>
  <c r="S530" i="5"/>
  <c r="S18" i="5"/>
  <c r="S274" i="5"/>
  <c r="S505" i="5"/>
  <c r="S509" i="5"/>
  <c r="S115" i="5"/>
  <c r="S67" i="5"/>
  <c r="S12" i="5"/>
  <c r="S75" i="5"/>
  <c r="S70" i="5"/>
  <c r="S91" i="5"/>
  <c r="S125" i="5"/>
  <c r="S258" i="5"/>
  <c r="S402" i="5"/>
  <c r="S403" i="5"/>
  <c r="S24" i="5"/>
  <c r="S515" i="5"/>
  <c r="S374" i="5"/>
  <c r="S64" i="5"/>
  <c r="S219" i="5"/>
  <c r="S407" i="5"/>
  <c r="S516" i="5"/>
  <c r="S372" i="5"/>
  <c r="S510" i="5"/>
  <c r="S50" i="5"/>
  <c r="S349" i="5"/>
  <c r="S563" i="5"/>
  <c r="S517" i="5"/>
  <c r="S187" i="5"/>
  <c r="S59" i="5"/>
  <c r="S85" i="5"/>
  <c r="S388" i="5"/>
  <c r="S463" i="5"/>
  <c r="S185" i="5"/>
  <c r="S573" i="5"/>
  <c r="S577" i="5"/>
  <c r="S564" i="5"/>
  <c r="S147" i="5"/>
  <c r="S412" i="5"/>
  <c r="S109" i="5"/>
  <c r="S441" i="5"/>
  <c r="S484" i="5"/>
  <c r="S52" i="5"/>
  <c r="S77" i="5"/>
  <c r="S458" i="5"/>
  <c r="S204" i="5"/>
  <c r="S186" i="5"/>
  <c r="S157" i="5"/>
  <c r="S178" i="5"/>
  <c r="S442" i="5"/>
  <c r="S486" i="5"/>
  <c r="S270" i="5"/>
  <c r="S549" i="5"/>
  <c r="S534" i="5"/>
  <c r="S79" i="5"/>
  <c r="S40" i="5"/>
  <c r="S201" i="5"/>
  <c r="S420" i="5"/>
  <c r="S146" i="5"/>
  <c r="S110" i="5"/>
  <c r="S356" i="5"/>
  <c r="S432" i="5"/>
  <c r="S34" i="5"/>
  <c r="S202" i="5"/>
  <c r="S218" i="5"/>
  <c r="S535" i="5"/>
  <c r="S206" i="5"/>
  <c r="S268" i="5"/>
  <c r="S119" i="5"/>
  <c r="S375" i="5"/>
  <c r="S48" i="5"/>
  <c r="S190" i="5"/>
  <c r="S49" i="5"/>
  <c r="S203" i="5"/>
  <c r="S427" i="5"/>
  <c r="S235" i="5"/>
  <c r="S251" i="5"/>
  <c r="S382" i="5"/>
  <c r="S429" i="5"/>
  <c r="S481" i="5"/>
  <c r="S362" i="5"/>
  <c r="S414" i="5"/>
  <c r="S271" i="5"/>
  <c r="S54" i="5"/>
  <c r="S480" i="5"/>
  <c r="S361" i="5"/>
  <c r="S553" i="5"/>
  <c r="S124" i="5"/>
  <c r="S267" i="5"/>
  <c r="S421" i="5"/>
  <c r="S385" i="5"/>
  <c r="S483" i="5"/>
  <c r="S173" i="5"/>
  <c r="S191" i="5"/>
  <c r="S41" i="5"/>
  <c r="S164" i="5"/>
  <c r="S275" i="5"/>
  <c r="S493" i="5"/>
  <c r="S569" i="5"/>
  <c r="S162" i="5"/>
  <c r="S153" i="5"/>
  <c r="S155" i="5"/>
  <c r="S96" i="5"/>
  <c r="S210" i="5"/>
  <c r="S392" i="5"/>
  <c r="S538" i="5"/>
  <c r="S559" i="5"/>
  <c r="S247" i="5"/>
  <c r="S394" i="5"/>
  <c r="S465" i="5"/>
  <c r="S580" i="5"/>
  <c r="S13" i="5"/>
  <c r="S105" i="5"/>
  <c r="S152" i="5"/>
  <c r="S354" i="5"/>
  <c r="S502" i="5"/>
  <c r="S260" i="5"/>
  <c r="S519" i="5"/>
  <c r="S207" i="5"/>
  <c r="S87" i="5"/>
  <c r="S521" i="5"/>
  <c r="S171" i="5"/>
  <c r="S369" i="5"/>
  <c r="S539" i="5"/>
  <c r="S277" i="5"/>
  <c r="S280" i="5"/>
  <c r="S562" i="5"/>
  <c r="S574" i="5"/>
  <c r="S397" i="5"/>
  <c r="S554" i="5"/>
  <c r="S39" i="5"/>
  <c r="S398" i="5"/>
  <c r="S68" i="5"/>
  <c r="S194" i="5"/>
  <c r="S257" i="5"/>
  <c r="S571" i="5"/>
  <c r="S167" i="5"/>
  <c r="S253" i="5"/>
  <c r="S93" i="5"/>
  <c r="S46" i="5"/>
  <c r="S386" i="5"/>
  <c r="S506" i="5"/>
  <c r="S38" i="5"/>
  <c r="S47" i="5"/>
  <c r="S364" i="5"/>
  <c r="S58" i="5"/>
  <c r="S92" i="5"/>
  <c r="S357" i="5"/>
  <c r="S560" i="5"/>
  <c r="S281" i="5"/>
  <c r="S395" i="5"/>
  <c r="S460" i="5"/>
  <c r="S239" i="5"/>
  <c r="S445" i="5"/>
  <c r="S36" i="5"/>
  <c r="S276" i="5"/>
  <c r="S527" i="5"/>
  <c r="S199" i="5"/>
  <c r="S384" i="5"/>
  <c r="S572" i="5"/>
  <c r="S126" i="5"/>
  <c r="S365" i="5"/>
  <c r="S140" i="5"/>
  <c r="S489" i="5"/>
  <c r="S166" i="5"/>
  <c r="S170" i="5"/>
  <c r="S391" i="5"/>
  <c r="S533" i="5"/>
  <c r="S426" i="5"/>
  <c r="S525" i="5"/>
  <c r="S136" i="5"/>
  <c r="S536" i="5"/>
  <c r="S350" i="5"/>
  <c r="S546" i="5"/>
  <c r="S540" i="5"/>
  <c r="S358" i="5"/>
  <c r="S71" i="5"/>
  <c r="S366" i="5"/>
  <c r="S180" i="5"/>
  <c r="S88" i="5"/>
  <c r="S379" i="5"/>
  <c r="S31" i="5"/>
  <c r="S472" i="5"/>
  <c r="S492" i="5"/>
  <c r="S23" i="5"/>
  <c r="S585" i="5"/>
  <c r="S98" i="5"/>
  <c r="S156" i="5"/>
  <c r="S176" i="5"/>
  <c r="S102" i="5"/>
  <c r="S555" i="5"/>
  <c r="S144" i="5"/>
  <c r="S111" i="5"/>
  <c r="S523" i="5"/>
  <c r="S217" i="5"/>
  <c r="S576" i="5"/>
  <c r="S100" i="5"/>
  <c r="S225" i="5"/>
  <c r="S256" i="5"/>
  <c r="S482" i="5"/>
  <c r="S43" i="5"/>
  <c r="S440" i="5"/>
  <c r="S411" i="5"/>
  <c r="S557" i="5"/>
  <c r="S405" i="5"/>
  <c r="S269" i="5"/>
  <c r="S435" i="5"/>
  <c r="S272" i="5"/>
  <c r="S471" i="5"/>
  <c r="S552" i="5"/>
  <c r="S163" i="5"/>
  <c r="S579" i="5"/>
  <c r="S179" i="5"/>
  <c r="S60" i="5"/>
  <c r="S252" i="5"/>
  <c r="S390" i="5"/>
  <c r="S485" i="5"/>
  <c r="S223" i="5"/>
  <c r="S448" i="5"/>
  <c r="S117" i="5"/>
  <c r="S373" i="5"/>
  <c r="S209" i="5"/>
  <c r="S475" i="5"/>
  <c r="S121" i="5"/>
  <c r="S273" i="5"/>
  <c r="S556" i="5"/>
  <c r="S159" i="5"/>
  <c r="S454" i="5"/>
  <c r="S220" i="5"/>
  <c r="S499" i="5"/>
  <c r="S65" i="5"/>
  <c r="S248" i="5"/>
  <c r="S447" i="5"/>
  <c r="S104" i="5"/>
  <c r="S507" i="5"/>
  <c r="S99" i="5"/>
  <c r="S97" i="5"/>
  <c r="S44" i="5"/>
  <c r="S243" i="5"/>
  <c r="S406" i="5"/>
  <c r="S399" i="5"/>
  <c r="S418" i="5"/>
  <c r="S469" i="5"/>
  <c r="S498" i="5"/>
  <c r="S566" i="5"/>
  <c r="S42" i="5"/>
  <c r="S193" i="5"/>
  <c r="S232" i="5"/>
  <c r="S182" i="5"/>
  <c r="S244" i="5"/>
  <c r="S205" i="5"/>
  <c r="S459" i="5"/>
  <c r="S123" i="5"/>
  <c r="S16" i="5"/>
  <c r="S242" i="5"/>
  <c r="S532" i="5"/>
  <c r="S238" i="5"/>
  <c r="S53" i="5"/>
  <c r="S476" i="5"/>
  <c r="S500" i="5"/>
  <c r="S45" i="5"/>
  <c r="S531" i="5"/>
  <c r="S568" i="5"/>
  <c r="S134" i="5"/>
  <c r="S101" i="5"/>
  <c r="S462" i="5"/>
  <c r="S211" i="5"/>
  <c r="S578" i="5"/>
  <c r="S27" i="5"/>
  <c r="S20" i="5"/>
  <c r="S351" i="5"/>
  <c r="S542" i="5"/>
  <c r="S145" i="5"/>
  <c r="S181" i="5"/>
  <c r="S61" i="5"/>
  <c r="S21" i="5"/>
  <c r="S37" i="5"/>
  <c r="S165" i="5"/>
  <c r="S216" i="5"/>
  <c r="S212" i="5"/>
  <c r="S383" i="5"/>
  <c r="S56" i="5"/>
  <c r="S491" i="5"/>
  <c r="S62" i="5"/>
  <c r="S456" i="5"/>
  <c r="S474" i="5"/>
  <c r="S28" i="5"/>
  <c r="S195" i="5"/>
  <c r="S221" i="5"/>
  <c r="S470" i="5"/>
  <c r="S438" i="5"/>
  <c r="S504" i="5"/>
  <c r="S479" i="5"/>
  <c r="S526" i="5"/>
  <c r="S139" i="5"/>
  <c r="S415" i="5"/>
  <c r="S151" i="5"/>
  <c r="S419" i="5"/>
  <c r="S584" i="5"/>
  <c r="S259" i="5"/>
  <c r="S107" i="5"/>
  <c r="S188" i="5"/>
  <c r="S451" i="5"/>
  <c r="S501" i="5"/>
  <c r="S135" i="5"/>
  <c r="S424" i="5"/>
  <c r="S262" i="5"/>
  <c r="S227" i="5"/>
  <c r="S229" i="5"/>
  <c r="S359" i="5"/>
  <c r="S497" i="5"/>
  <c r="S524" i="5"/>
  <c r="S25" i="5"/>
  <c r="S457" i="5"/>
  <c r="S35" i="5"/>
  <c r="S133" i="5"/>
  <c r="S14" i="5"/>
  <c r="S161" i="5"/>
  <c r="S387" i="5"/>
  <c r="S141" i="5"/>
  <c r="S378" i="5"/>
  <c r="S380" i="5"/>
  <c r="S236" i="5"/>
  <c r="S143" i="5"/>
  <c r="S196" i="5"/>
  <c r="S254" i="5"/>
  <c r="S266" i="5"/>
  <c r="S278" i="5"/>
  <c r="S363" i="5"/>
  <c r="S127" i="5"/>
  <c r="S477" i="5"/>
  <c r="S575" i="5"/>
  <c r="S89" i="5"/>
  <c r="S154" i="5"/>
  <c r="S263" i="5"/>
  <c r="S467" i="5"/>
  <c r="S32" i="5"/>
  <c r="S222" i="5"/>
  <c r="S430" i="5"/>
  <c r="S423" i="5"/>
  <c r="S84" i="5"/>
  <c r="S282" i="5"/>
  <c r="S63" i="5"/>
  <c r="S81" i="5"/>
  <c r="S208" i="5"/>
  <c r="S72" i="5"/>
  <c r="S189" i="5"/>
  <c r="S490" i="5"/>
  <c r="S228" i="5"/>
  <c r="S416" i="5"/>
  <c r="S142" i="5"/>
  <c r="S264" i="5"/>
  <c r="S192" i="5"/>
  <c r="S422" i="5"/>
  <c r="S137" i="5"/>
  <c r="S214" i="5"/>
  <c r="S389" i="5"/>
  <c r="S83" i="5"/>
  <c r="S175" i="5"/>
  <c r="S393" i="5"/>
  <c r="S488" i="5"/>
  <c r="S439" i="5"/>
  <c r="S512" i="5"/>
  <c r="S149" i="5"/>
  <c r="S30" i="5"/>
  <c r="S200" i="5"/>
  <c r="S520" i="5"/>
  <c r="S197" i="5"/>
  <c r="S370" i="5"/>
  <c r="S26" i="5"/>
  <c r="S160" i="5"/>
  <c r="S246" i="5"/>
  <c r="S353" i="5"/>
  <c r="S29" i="5"/>
  <c r="S455" i="5"/>
  <c r="S537" i="5"/>
  <c r="S108" i="5"/>
  <c r="S443" i="5"/>
  <c r="S265" i="5"/>
  <c r="S355" i="5"/>
  <c r="S431" i="5"/>
  <c r="S544" i="5"/>
  <c r="S543" i="5"/>
  <c r="S360" i="5"/>
  <c r="S461" i="5"/>
  <c r="S76" i="5"/>
  <c r="S453" i="5"/>
  <c r="S408" i="5"/>
  <c r="S528" i="5"/>
  <c r="S261" i="5"/>
  <c r="S368" i="5"/>
  <c r="S245" i="5"/>
  <c r="S237" i="5"/>
  <c r="S437" i="5"/>
  <c r="S446" i="5"/>
  <c r="S231" i="5"/>
  <c r="S561" i="5"/>
  <c r="S250" i="5"/>
  <c r="S400" i="5"/>
  <c r="S401" i="5"/>
  <c r="S240" i="5"/>
  <c r="S567" i="5"/>
  <c r="S529" i="5"/>
  <c r="S522" i="5"/>
  <c r="S241" i="5"/>
  <c r="S177" i="5"/>
  <c r="S381" i="5"/>
  <c r="S215" i="5"/>
  <c r="S95" i="5"/>
  <c r="S450" i="5"/>
  <c r="S377" i="5"/>
  <c r="S129" i="5"/>
  <c r="S413" i="5"/>
  <c r="S233" i="5"/>
  <c r="S230" i="5"/>
  <c r="S114" i="5"/>
  <c r="S138" i="5"/>
  <c r="S376" i="5"/>
  <c r="S103" i="5"/>
  <c r="S550" i="5"/>
  <c r="S409" i="5"/>
  <c r="S51" i="5"/>
  <c r="S172" i="5"/>
  <c r="S494" i="5"/>
  <c r="S224" i="5"/>
  <c r="S425" i="5"/>
  <c r="S396" i="5"/>
  <c r="S183" i="5"/>
  <c r="S249" i="5"/>
  <c r="S69" i="5"/>
  <c r="S66" i="5"/>
  <c r="S548" i="5"/>
  <c r="S545" i="5"/>
  <c r="S495" i="5"/>
  <c r="S404" i="5"/>
  <c r="S518" i="5"/>
  <c r="S10" i="5"/>
  <c r="S9" i="5"/>
  <c r="S7" i="5"/>
  <c r="S8" i="5"/>
  <c r="S11" i="5"/>
  <c r="S6" i="5"/>
  <c r="S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<sst xmlns="http://schemas.openxmlformats.org/spreadsheetml/2006/main" count="21610" uniqueCount="15507">
  <si>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</si>
  <si>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</si>
  <si>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</si>
  <si>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</si>
  <si>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</si>
  <si>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</si>
  <si>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</si>
  <si>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</si>
  <si>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</si>
  <si>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</si>
  <si>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</si>
  <si>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</si>
  <si>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</si>
  <si>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</si>
  <si>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</si>
  <si>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</si>
  <si>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</si>
  <si>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</si>
  <si>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</si>
  <si>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</si>
  <si>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</si>
  <si>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</si>
  <si>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</si>
  <si>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</si>
  <si>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</si>
  <si>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</si>
  <si>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</si>
  <si>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</si>
  <si>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</si>
  <si>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</si>
  <si>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</si>
  <si>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</si>
  <si>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</si>
  <si>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</si>
  <si>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</si>
  <si>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</si>
  <si>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</si>
  <si>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</si>
  <si>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</si>
  <si>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</si>
  <si>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</si>
  <si>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</si>
  <si>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</si>
  <si>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</si>
  <si>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</si>
  <si>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</si>
  <si>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</si>
  <si>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</si>
  <si>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</si>
  <si>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</si>
  <si>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</si>
  <si>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</si>
  <si>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</si>
  <si>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</si>
  <si>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</si>
  <si>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</si>
  <si>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</si>
  <si>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</si>
  <si>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</si>
  <si>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</si>
  <si>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</si>
  <si>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</si>
  <si>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</si>
  <si>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</si>
  <si>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</si>
  <si>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</si>
  <si>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</si>
  <si>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</si>
  <si>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</si>
  <si>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</si>
  <si>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</si>
  <si>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</si>
  <si>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</si>
  <si>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</si>
  <si>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</si>
  <si>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</si>
  <si>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</si>
  <si>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</si>
  <si>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</si>
  <si>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</si>
  <si>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</si>
  <si>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</si>
  <si>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</si>
  <si>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</si>
  <si>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</si>
  <si>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</si>
  <si>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</si>
  <si>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</si>
  <si>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</si>
  <si>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</si>
  <si>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</si>
  <si>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</si>
  <si>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</si>
  <si>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</si>
  <si>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</si>
  <si>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</si>
  <si>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</si>
  <si>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</si>
  <si>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</si>
  <si>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</si>
  <si>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</si>
  <si>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</si>
  <si>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</si>
  <si>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</si>
  <si>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</si>
  <si>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</si>
  <si>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</si>
  <si>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</si>
  <si>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</si>
  <si>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</si>
  <si>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</si>
  <si>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</si>
  <si>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</si>
  <si>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</si>
  <si>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</si>
  <si>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</si>
  <si>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</si>
  <si>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</si>
  <si>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</si>
  <si>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</si>
  <si>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</si>
  <si>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</si>
  <si>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</si>
  <si>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</si>
  <si>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</si>
  <si>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</si>
  <si>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</si>
  <si>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</si>
  <si>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</si>
  <si>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</si>
  <si>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</si>
  <si>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</si>
  <si>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</si>
  <si>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</si>
  <si>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</si>
  <si>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</si>
  <si>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</si>
  <si>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</si>
  <si>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</si>
  <si>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</si>
  <si>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</si>
  <si>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</si>
  <si>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</si>
  <si>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</si>
  <si>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</si>
  <si>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</si>
  <si>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</si>
  <si>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</si>
  <si>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</si>
  <si>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</si>
  <si>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</si>
  <si>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</si>
  <si>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</si>
  <si>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</si>
  <si>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</si>
  <si>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</si>
  <si>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</si>
  <si>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</si>
  <si>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</si>
  <si>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</si>
  <si>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</si>
  <si>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</si>
  <si>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</si>
  <si>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</si>
  <si>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</si>
  <si>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</si>
  <si>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</si>
  <si>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</si>
  <si>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</si>
  <si>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</si>
  <si>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</si>
  <si>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</si>
  <si>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</si>
  <si>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</si>
  <si>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</si>
  <si>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</si>
  <si>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</si>
  <si>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</si>
  <si>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</si>
  <si>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</si>
  <si>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</si>
  <si>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</si>
  <si>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</si>
  <si>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</si>
  <si>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</si>
  <si>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</si>
  <si>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</si>
  <si>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</si>
  <si>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</si>
  <si>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</si>
  <si>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</si>
  <si>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</si>
  <si>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</si>
  <si>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</si>
  <si>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</si>
  <si>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</si>
  <si>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</si>
  <si>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</si>
  <si>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</si>
  <si>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</si>
  <si>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</si>
  <si>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</si>
  <si>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</si>
  <si>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</si>
  <si>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</si>
  <si>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</si>
  <si>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</si>
  <si>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</si>
  <si>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</si>
  <si>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</si>
  <si>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</si>
  <si>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</si>
  <si>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</si>
  <si>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</si>
  <si>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</si>
  <si>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</si>
  <si>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</si>
  <si>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</si>
  <si>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</si>
  <si>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</si>
  <si>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</si>
  <si>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</si>
  <si>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</si>
  <si>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</si>
  <si>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</si>
  <si>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</si>
  <si>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</si>
  <si>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</si>
  <si>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</si>
  <si>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</si>
  <si>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</si>
  <si>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</si>
  <si>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</si>
  <si>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</si>
  <si>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</si>
  <si>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</si>
  <si>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</si>
  <si>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</si>
  <si>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</si>
  <si>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</si>
  <si>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</si>
  <si>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</si>
  <si>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</si>
  <si>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</si>
  <si>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</si>
  <si>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</si>
  <si>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</si>
  <si>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</si>
  <si>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</si>
  <si>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</si>
  <si>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</si>
  <si>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</si>
  <si>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</si>
  <si>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</si>
  <si>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</si>
  <si>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</si>
  <si>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</si>
  <si>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</si>
  <si>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</si>
  <si>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</si>
  <si>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</si>
  <si>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</si>
  <si>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</si>
  <si>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</si>
  <si>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</si>
  <si>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</si>
  <si>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</si>
  <si>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</si>
  <si>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</si>
  <si>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</si>
  <si>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</si>
  <si>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</si>
  <si>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</si>
  <si>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</si>
  <si>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</si>
  <si>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</si>
  <si>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</si>
  <si>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</si>
  <si>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</si>
  <si>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</si>
  <si>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</si>
  <si>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</si>
  <si>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</si>
  <si>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</si>
  <si>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</si>
  <si>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</si>
  <si>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</si>
  <si>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</si>
  <si>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</si>
  <si>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</si>
  <si>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</si>
  <si>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</si>
  <si>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</si>
  <si>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</si>
  <si>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</si>
  <si>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</si>
  <si>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</si>
  <si>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</si>
  <si>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</si>
  <si>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</si>
  <si>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</si>
  <si>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</si>
  <si>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</si>
  <si>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</si>
  <si>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</si>
  <si>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</si>
  <si>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</si>
  <si>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</si>
  <si>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</si>
  <si>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</si>
  <si>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</si>
  <si>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</si>
  <si>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</si>
  <si>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</si>
  <si>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</si>
  <si>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</si>
  <si>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</si>
  <si>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</si>
  <si>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</si>
  <si>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</si>
  <si>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</si>
  <si>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</si>
  <si>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</si>
  <si>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</si>
  <si>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</si>
  <si>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</si>
  <si>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</si>
  <si>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</si>
  <si>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</si>
  <si>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</si>
  <si>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</si>
  <si>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</si>
  <si>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</si>
  <si>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</si>
  <si>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</si>
  <si>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</si>
  <si>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</si>
  <si>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</si>
  <si>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</si>
  <si>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</si>
  <si>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</si>
  <si>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</si>
  <si>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</si>
  <si>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</si>
  <si>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</si>
  <si>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</si>
  <si>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</si>
  <si>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</si>
  <si>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</si>
  <si>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</si>
  <si>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</si>
  <si>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</si>
  <si>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</si>
  <si>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</si>
  <si>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</si>
  <si>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</si>
  <si>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</si>
  <si>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</si>
  <si>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</si>
  <si>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</si>
  <si>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</si>
  <si>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</si>
  <si>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</si>
  <si>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</si>
  <si>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</si>
  <si>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</si>
  <si>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</si>
  <si>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</si>
  <si>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</si>
  <si>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</si>
  <si>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</si>
  <si>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</si>
  <si>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</si>
  <si>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</si>
  <si>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</si>
  <si>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</si>
  <si>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</si>
  <si>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</si>
  <si>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</si>
  <si>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</si>
  <si>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</si>
  <si>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</si>
  <si>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</si>
  <si>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</si>
  <si>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</si>
  <si>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</si>
  <si>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</si>
  <si>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</si>
  <si>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</si>
  <si>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</si>
  <si>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</si>
  <si>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</si>
  <si>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</si>
  <si>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</si>
  <si>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</si>
  <si>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</si>
  <si>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</si>
  <si>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</si>
  <si>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</si>
  <si>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</si>
  <si>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</si>
  <si>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</si>
  <si>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</si>
  <si>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</si>
  <si>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</si>
  <si>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</si>
  <si>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</si>
  <si>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</si>
  <si>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</si>
  <si>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</si>
  <si>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</si>
  <si>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</si>
  <si>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</si>
  <si>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</si>
  <si>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</si>
  <si>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</si>
  <si>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</si>
  <si>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</si>
  <si>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</si>
  <si>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</si>
  <si>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</si>
  <si>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</si>
  <si>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</si>
  <si>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</si>
  <si>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</si>
  <si>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</si>
  <si>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</si>
  <si>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</si>
  <si>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</si>
  <si>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</si>
  <si>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</si>
  <si>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</si>
  <si>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</si>
  <si>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</si>
  <si>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</si>
  <si>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</si>
  <si>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</si>
  <si>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</si>
  <si>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</si>
  <si>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</si>
  <si>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</si>
  <si>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</si>
  <si>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</si>
  <si>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</si>
  <si>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</si>
  <si>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</si>
  <si>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</si>
  <si>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</si>
  <si>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</si>
  <si>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</si>
  <si>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</si>
  <si>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</si>
  <si>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</si>
  <si>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</si>
  <si>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</si>
  <si>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</si>
  <si>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</si>
  <si>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</si>
  <si>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</si>
  <si>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</si>
  <si>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</si>
  <si>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</si>
  <si>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</si>
  <si>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</si>
  <si>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</si>
  <si>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</si>
  <si>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</si>
  <si>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</si>
  <si>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</si>
  <si>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</si>
  <si>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</si>
  <si>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</si>
  <si>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</si>
  <si>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</si>
  <si>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</si>
  <si>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</si>
  <si>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</si>
  <si>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</si>
  <si>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</si>
  <si>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</si>
  <si>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</si>
  <si>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</si>
  <si>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</si>
  <si>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</si>
  <si>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</si>
  <si>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</si>
  <si>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</si>
  <si>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</si>
  <si>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</si>
  <si>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</si>
  <si>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</si>
  <si>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</si>
  <si>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</si>
  <si>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</si>
  <si>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</si>
  <si>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</si>
  <si>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</si>
  <si>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</si>
  <si>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</si>
  <si>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</si>
  <si>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</si>
  <si>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</si>
  <si>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</si>
  <si>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</si>
  <si>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</si>
  <si>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</si>
  <si>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</si>
  <si>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</si>
  <si>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</si>
  <si>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</si>
  <si>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</si>
  <si>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</si>
  <si>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</si>
  <si>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</si>
  <si>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</si>
  <si>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</si>
  <si>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</si>
  <si>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</si>
  <si>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</si>
  <si>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</si>
  <si>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</si>
  <si>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</si>
  <si>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</si>
  <si>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</si>
  <si>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</si>
  <si>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</si>
  <si>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</si>
  <si>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</si>
  <si>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</si>
  <si>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</si>
  <si>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</si>
  <si>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</si>
  <si>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</si>
  <si>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</si>
  <si>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</si>
  <si>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</si>
  <si>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</si>
  <si>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</si>
  <si>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</si>
  <si>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</si>
  <si>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</si>
  <si>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</si>
  <si>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</si>
  <si>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</si>
  <si>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</si>
  <si>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</si>
  <si>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</si>
  <si>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</si>
  <si>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</si>
  <si>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</si>
  <si>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</si>
  <si>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</si>
  <si>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</si>
  <si>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</si>
  <si>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</si>
  <si>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</si>
  <si>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</si>
  <si>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</si>
  <si>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</si>
  <si>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</si>
  <si>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</si>
  <si>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</si>
  <si>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</si>
  <si>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</si>
  <si>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</si>
  <si>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</si>
  <si>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</si>
  <si>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</si>
  <si>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</si>
  <si>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</si>
  <si>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</si>
  <si>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</si>
  <si>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</si>
  <si>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</si>
  <si>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</si>
  <si>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</si>
  <si>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</si>
  <si>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</si>
  <si>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</si>
  <si>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</si>
  <si>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</si>
  <si>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</si>
  <si>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</si>
  <si>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</si>
  <si>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</si>
  <si>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</si>
  <si>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</si>
  <si>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</si>
  <si>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</si>
  <si>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</si>
  <si>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</si>
  <si>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</si>
  <si>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</si>
  <si>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</si>
  <si>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</si>
  <si>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</si>
  <si>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</si>
  <si>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</si>
  <si>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</si>
  <si>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</si>
  <si>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</si>
  <si>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</si>
  <si>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</si>
  <si>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</si>
  <si>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</si>
  <si>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</si>
  <si>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</si>
  <si>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</si>
  <si>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</si>
  <si>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</si>
  <si>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</si>
  <si>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</si>
  <si>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</si>
  <si>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</si>
  <si>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</si>
  <si>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</si>
  <si>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</si>
  <si>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</si>
  <si>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</si>
  <si>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</si>
  <si>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</si>
  <si>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</si>
  <si>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</si>
  <si>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</si>
  <si>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</si>
  <si>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</si>
  <si>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</si>
  <si>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</si>
  <si>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</si>
  <si>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</si>
  <si>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</si>
  <si>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</si>
  <si>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</si>
  <si>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</si>
  <si>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</si>
  <si>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</si>
  <si>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</si>
  <si>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</si>
  <si>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</si>
  <si>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</si>
  <si>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</si>
  <si>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</si>
  <si>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</si>
  <si>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</si>
  <si>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</si>
  <si>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</si>
  <si>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</si>
  <si>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</si>
  <si>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</si>
  <si>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</si>
  <si>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</si>
  <si>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</si>
  <si>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</si>
  <si>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</si>
  <si>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</si>
  <si>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</si>
  <si>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</si>
  <si>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</si>
  <si>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</si>
  <si>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</si>
  <si>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</si>
  <si>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</si>
  <si>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</si>
  <si>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</si>
  <si>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</si>
  <si>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</si>
  <si>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</si>
  <si>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</si>
  <si>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</si>
  <si>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</si>
  <si>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</si>
  <si>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</si>
  <si>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</si>
  <si>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</si>
  <si>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</si>
  <si>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</si>
  <si>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</si>
  <si>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</si>
  <si>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</si>
  <si>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</si>
  <si>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</si>
  <si>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</si>
  <si>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</si>
  <si>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</si>
  <si>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</si>
  <si>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</si>
  <si>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</si>
  <si>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</si>
  <si>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</si>
  <si>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</si>
  <si>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</si>
  <si>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</si>
  <si>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</si>
  <si>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</si>
  <si>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</si>
  <si>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</si>
  <si>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</si>
  <si>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</si>
  <si>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</si>
  <si>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</si>
  <si>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</si>
  <si>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</si>
  <si>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</si>
  <si>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</si>
  <si>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</si>
  <si>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</si>
  <si>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</si>
  <si>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</si>
  <si>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</si>
  <si>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</si>
  <si>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</si>
  <si>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</si>
  <si>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</si>
  <si>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</si>
  <si>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</si>
  <si>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</si>
  <si>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</si>
  <si>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</si>
  <si>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</si>
  <si>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</si>
  <si>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</si>
  <si>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</si>
  <si>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</si>
  <si>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</si>
  <si>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</si>
  <si>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</si>
  <si>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</si>
  <si>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</si>
  <si>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</si>
  <si>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</si>
  <si>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</si>
  <si>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</si>
  <si>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</si>
  <si>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</si>
  <si>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</si>
  <si>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</si>
  <si>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</si>
  <si>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</si>
  <si>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</si>
  <si>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</si>
  <si>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</si>
  <si>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</si>
  <si>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</si>
  <si>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</si>
  <si>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</si>
  <si>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</si>
  <si>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</si>
  <si>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</si>
  <si>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</si>
  <si>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</si>
  <si>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</si>
  <si>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</si>
  <si>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</si>
  <si>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</si>
  <si>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</si>
  <si>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</si>
  <si>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</si>
  <si>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</si>
  <si>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</si>
  <si>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</si>
  <si>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</si>
  <si>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</si>
  <si>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</si>
  <si>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</si>
  <si>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</si>
  <si>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</si>
  <si>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</si>
  <si>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</si>
  <si>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</si>
  <si>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</si>
  <si>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</si>
  <si>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</si>
  <si>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</si>
  <si>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</si>
  <si>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</si>
  <si>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</si>
  <si>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</si>
  <si>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</si>
  <si>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</si>
  <si>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</si>
  <si>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</si>
  <si>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</si>
  <si>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</si>
  <si>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</si>
  <si>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</si>
  <si>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</si>
  <si>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</si>
  <si>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</si>
  <si>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</si>
  <si>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</si>
  <si>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</si>
  <si>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</si>
  <si>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</si>
  <si>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</si>
  <si>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</si>
  <si>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</si>
  <si>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</si>
  <si>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</si>
  <si>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</si>
  <si>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</si>
  <si>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</si>
  <si>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</si>
  <si>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</si>
  <si>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</si>
  <si>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</si>
  <si>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</si>
  <si>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</si>
  <si>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</si>
  <si>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</si>
  <si>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</si>
  <si>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</si>
  <si>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</si>
  <si>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</si>
  <si>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</si>
  <si>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</si>
  <si>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</si>
  <si>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</si>
  <si>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</si>
  <si>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</si>
  <si>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</si>
  <si>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</si>
  <si>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</si>
  <si>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</si>
  <si>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</si>
  <si>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</si>
  <si>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</si>
  <si>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</si>
  <si>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</si>
  <si>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</si>
  <si>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</si>
  <si>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</si>
  <si>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</si>
  <si>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</si>
  <si>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</si>
  <si>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</si>
  <si>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</si>
  <si>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</si>
  <si>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</si>
  <si>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</si>
  <si>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</si>
  <si>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</si>
  <si>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</si>
  <si>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</si>
  <si>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</si>
  <si>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</si>
  <si>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</si>
  <si>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</si>
  <si>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</si>
  <si>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</si>
  <si>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</si>
  <si>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</si>
  <si>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</si>
  <si>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</si>
  <si>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</si>
  <si>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</si>
  <si>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</si>
  <si>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</si>
  <si>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</si>
  <si>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</si>
  <si>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</si>
  <si>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</si>
  <si>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</si>
  <si>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</si>
  <si>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</si>
  <si>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</si>
  <si>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</si>
  <si>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</si>
  <si>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</si>
  <si>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</si>
  <si>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</si>
  <si>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</si>
  <si>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</si>
  <si>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</si>
  <si>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</si>
  <si>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</si>
  <si>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</si>
  <si>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</si>
  <si>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</si>
  <si>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</si>
  <si>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</si>
  <si>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</si>
  <si>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</si>
  <si>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</si>
  <si>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</si>
  <si>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</si>
  <si>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</si>
  <si>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</si>
  <si>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</si>
  <si>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</si>
  <si>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</si>
  <si>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</si>
  <si>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</si>
  <si>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</si>
  <si>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</si>
  <si>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</si>
  <si>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</si>
  <si>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</si>
  <si>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</si>
  <si>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</si>
  <si>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</si>
  <si>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</si>
  <si>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</si>
  <si>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</si>
  <si>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</si>
  <si>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</si>
  <si>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</si>
  <si>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</si>
  <si>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</si>
  <si>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</si>
  <si>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</si>
  <si>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</si>
  <si>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</si>
  <si>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</si>
  <si>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</si>
  <si>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</si>
  <si>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</si>
  <si>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</si>
  <si>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</si>
  <si>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</si>
  <si>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</si>
  <si>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</si>
  <si>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</si>
  <si>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</si>
  <si>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</si>
  <si>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</si>
  <si>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</si>
  <si>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</si>
  <si>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</si>
  <si>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</si>
  <si>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</si>
  <si>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</si>
  <si>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</si>
  <si>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</si>
  <si>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</si>
  <si>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</si>
  <si>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</si>
  <si>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</si>
  <si>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</si>
  <si>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</si>
  <si>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</si>
  <si>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</si>
  <si>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</si>
  <si>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</si>
  <si>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</si>
  <si>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</si>
  <si>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</si>
  <si>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</si>
  <si>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</si>
  <si>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</si>
  <si>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</si>
  <si>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</si>
  <si>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</si>
  <si>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</si>
  <si>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</si>
  <si>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</si>
  <si>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</si>
  <si>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</si>
  <si>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</si>
  <si>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</si>
  <si>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</si>
  <si>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</si>
  <si>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</si>
  <si>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</si>
  <si>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</si>
  <si>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</si>
  <si>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</si>
  <si>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</si>
  <si>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</si>
  <si>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</si>
  <si>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</si>
  <si>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</si>
  <si>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</si>
  <si>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</si>
  <si>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</si>
  <si>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</si>
  <si>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</si>
  <si>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</si>
  <si>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</si>
  <si>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</si>
  <si>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</si>
  <si>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</si>
  <si>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</si>
  <si>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</si>
  <si>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</si>
  <si>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</si>
  <si>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</si>
  <si>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</si>
  <si>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</si>
  <si>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</si>
  <si>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</si>
  <si>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</si>
  <si>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</si>
  <si>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</si>
  <si>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</si>
  <si>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</si>
  <si>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</si>
  <si>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</si>
  <si>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</si>
  <si>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</si>
  <si>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</si>
  <si>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</si>
  <si>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</si>
  <si>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</si>
  <si>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</si>
  <si>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</si>
  <si>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</si>
  <si>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</si>
  <si>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</si>
  <si>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</si>
  <si>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</si>
  <si>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</si>
  <si>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</si>
  <si>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</si>
  <si>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</si>
  <si>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</si>
  <si>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</si>
  <si>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</si>
  <si>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</si>
  <si>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</si>
  <si>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</si>
  <si>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</si>
  <si>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</si>
  <si>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</si>
  <si>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</si>
  <si>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</si>
  <si>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</si>
  <si>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</si>
  <si>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</si>
  <si>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</si>
  <si>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</si>
  <si>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</si>
  <si>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</si>
  <si>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</si>
  <si>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</si>
  <si>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</si>
  <si>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</si>
  <si>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</si>
  <si>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</si>
  <si>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</si>
  <si>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</si>
  <si>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</si>
  <si>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</si>
  <si>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</si>
  <si>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</si>
  <si>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</si>
  <si>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</si>
  <si>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</si>
  <si>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</si>
  <si>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</si>
  <si>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</si>
  <si>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</si>
  <si>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</si>
  <si>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</si>
  <si>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</si>
  <si>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</si>
  <si>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</si>
  <si>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</si>
  <si>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</si>
  <si>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</si>
  <si>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</si>
  <si>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</si>
  <si>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</si>
  <si>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</si>
  <si>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</si>
  <si>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</si>
  <si>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</si>
  <si>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</si>
  <si>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</si>
  <si>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</si>
  <si>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</si>
  <si>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</si>
  <si>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</si>
  <si>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</si>
  <si>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</si>
  <si>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</si>
  <si>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</si>
  <si>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</si>
  <si>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</si>
  <si>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</si>
  <si>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</si>
  <si>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</si>
  <si>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</si>
  <si>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</si>
  <si>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</si>
  <si>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</si>
  <si>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</si>
  <si>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</si>
  <si>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</si>
  <si>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</si>
  <si>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</si>
  <si>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</si>
  <si>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</si>
  <si>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</si>
  <si>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</si>
  <si>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</si>
  <si>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</si>
  <si>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</si>
  <si>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</si>
  <si>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</si>
  <si>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</si>
  <si>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</si>
  <si>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</si>
  <si>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</si>
  <si>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</si>
  <si>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</si>
  <si>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</si>
  <si>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</si>
  <si>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</si>
  <si>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</si>
  <si>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</si>
  <si>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</si>
  <si>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</si>
  <si>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</si>
  <si>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</si>
  <si>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</si>
  <si>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</si>
  <si>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</si>
  <si>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</si>
  <si>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</si>
  <si>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</si>
  <si>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</si>
  <si>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</si>
  <si>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</si>
  <si>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</si>
  <si>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</si>
  <si>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</si>
  <si>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</si>
  <si>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</si>
  <si>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</si>
  <si>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</si>
  <si>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</si>
  <si>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</si>
  <si>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</si>
  <si>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</si>
  <si>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</si>
  <si>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</si>
  <si>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</si>
  <si>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</si>
  <si>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</si>
  <si>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</si>
  <si>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</si>
  <si>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</si>
  <si>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</si>
  <si>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</si>
  <si>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</si>
  <si>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</si>
  <si>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</si>
  <si>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</si>
  <si>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</si>
  <si>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</si>
  <si>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</si>
  <si>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</si>
  <si>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</si>
  <si>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</si>
  <si>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</si>
  <si>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</si>
  <si>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</si>
  <si>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</si>
  <si>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</si>
  <si>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</si>
  <si>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</si>
  <si>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</si>
  <si>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</si>
  <si>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</si>
  <si>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</si>
  <si>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</si>
  <si>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</si>
  <si>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</si>
  <si>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</si>
  <si>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</si>
  <si>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</si>
  <si>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</si>
  <si>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</si>
  <si>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</si>
  <si>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</si>
  <si>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</si>
  <si>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</si>
  <si>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</si>
  <si>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</si>
  <si>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</si>
  <si>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</si>
  <si>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</si>
  <si>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</si>
  <si>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</si>
  <si>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</si>
  <si>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</si>
  <si>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</si>
  <si>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</si>
  <si>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</si>
  <si>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</si>
  <si>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</si>
  <si>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</si>
  <si>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</si>
  <si>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</si>
  <si>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</si>
  <si>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</si>
  <si>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</si>
  <si>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</si>
  <si>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</si>
  <si>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</si>
  <si>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</si>
  <si>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</si>
  <si>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</si>
  <si>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</si>
  <si>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</si>
  <si>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</si>
  <si>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</si>
  <si>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</si>
  <si>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</si>
  <si>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</si>
  <si>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</si>
  <si>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</si>
  <si>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</si>
  <si>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</si>
  <si>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</si>
  <si>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</si>
  <si>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</si>
  <si>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</si>
  <si>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</si>
  <si>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</si>
  <si>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</si>
  <si>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</si>
  <si>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</si>
  <si>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</si>
  <si>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</si>
  <si>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</si>
  <si>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</si>
  <si>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</si>
  <si>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</si>
  <si>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</si>
  <si>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</si>
  <si>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</si>
  <si>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</si>
  <si>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</si>
  <si>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</si>
  <si>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</si>
  <si>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</si>
  <si>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</si>
  <si>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</si>
  <si>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</si>
  <si>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</si>
  <si>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</si>
  <si>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</si>
  <si>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</si>
  <si>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</si>
  <si>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</si>
  <si>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</si>
  <si>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</si>
  <si>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</si>
  <si>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</si>
  <si>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</si>
  <si>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</si>
  <si>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</si>
  <si>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</si>
  <si>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</si>
  <si>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</si>
  <si>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</si>
  <si>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</si>
  <si>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</si>
  <si>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</si>
  <si>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</si>
  <si>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</si>
  <si>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</si>
  <si>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</si>
  <si>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</si>
  <si>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</si>
  <si>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</si>
  <si>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</si>
  <si>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</si>
  <si>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</si>
  <si>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</si>
  <si>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</si>
  <si>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</si>
  <si>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</si>
  <si>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</si>
  <si>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</si>
  <si>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</si>
  <si>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</si>
  <si>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</si>
  <si>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</si>
  <si>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</si>
  <si>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</si>
  <si>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</si>
  <si>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</si>
  <si>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</si>
  <si>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</si>
  <si>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</si>
  <si>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</si>
  <si>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</si>
  <si>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</si>
  <si>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</si>
  <si>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</si>
  <si>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</si>
  <si>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</si>
  <si>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</si>
  <si>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</si>
  <si>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</si>
  <si>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</si>
  <si>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</si>
  <si>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</si>
  <si>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</si>
  <si>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</si>
  <si>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</si>
  <si>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</si>
  <si>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</si>
  <si>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</si>
  <si>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</si>
  <si>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</si>
  <si>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</si>
  <si>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</si>
  <si>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</si>
  <si>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</si>
  <si>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</si>
  <si>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</si>
  <si>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</si>
  <si>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</si>
  <si>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</si>
  <si>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</si>
  <si>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</si>
  <si>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</si>
  <si>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</si>
  <si>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</si>
  <si>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</si>
  <si>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</si>
  <si>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</si>
  <si>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</si>
  <si>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</si>
  <si>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</si>
  <si>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</si>
  <si>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</si>
  <si>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</si>
  <si>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</si>
  <si>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</si>
  <si>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</si>
  <si>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</si>
  <si>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</si>
  <si>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</si>
  <si>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</si>
  <si>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</si>
  <si>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</si>
  <si>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</si>
  <si>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</si>
  <si>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</si>
  <si>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</si>
  <si>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</si>
  <si>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</si>
  <si>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</si>
  <si>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</si>
  <si>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</si>
  <si>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</si>
  <si>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</si>
  <si>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</si>
  <si>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</si>
  <si>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</si>
  <si>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</si>
  <si>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</si>
  <si>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</si>
  <si>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</si>
  <si>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</si>
  <si>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</si>
  <si>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</si>
  <si>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</si>
  <si>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</si>
  <si>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</si>
  <si>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</si>
  <si>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</si>
  <si>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</si>
  <si>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</si>
  <si>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</si>
  <si>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</si>
  <si>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</si>
  <si>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</si>
  <si>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</si>
  <si>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</si>
  <si>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</si>
  <si>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</si>
  <si>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</si>
  <si>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</si>
  <si>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</si>
  <si>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</si>
  <si>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</si>
  <si>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</si>
  <si>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</si>
  <si>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</si>
  <si>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</si>
  <si>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</si>
  <si>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</si>
  <si>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</si>
  <si>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</si>
  <si>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</si>
  <si>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</si>
  <si>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</si>
  <si>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</si>
  <si>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</si>
  <si>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</si>
  <si>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</si>
  <si>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</si>
  <si>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</si>
  <si>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</si>
  <si>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</si>
  <si>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</si>
  <si>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</si>
  <si>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</si>
  <si>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</si>
  <si>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</si>
  <si>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</si>
  <si>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</si>
  <si>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</si>
  <si>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</si>
  <si>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</si>
  <si>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</si>
  <si>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</si>
  <si>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</si>
  <si>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</si>
  <si>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</si>
  <si>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</si>
  <si>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</si>
  <si>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</si>
  <si>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</si>
  <si>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</si>
  <si>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</si>
  <si>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</si>
  <si>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</si>
  <si>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</si>
  <si>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</si>
  <si>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</si>
  <si>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</si>
  <si>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</si>
  <si>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</si>
  <si>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</si>
  <si>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</si>
  <si>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</si>
  <si>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</si>
  <si>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</si>
  <si>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</si>
  <si>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</si>
  <si>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</si>
  <si>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</si>
  <si>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</si>
  <si>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</si>
  <si>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</si>
  <si>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</si>
  <si>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</si>
  <si>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</si>
  <si>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</si>
  <si>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</si>
  <si>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</si>
  <si>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</si>
  <si>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</si>
  <si>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</si>
  <si>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</si>
  <si>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</si>
  <si>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</si>
  <si>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</si>
  <si>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</si>
  <si>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</si>
  <si>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</si>
  <si>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</si>
  <si>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</si>
  <si>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</si>
  <si>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</si>
  <si>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</si>
  <si>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</si>
  <si>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</si>
  <si>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</si>
  <si>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</si>
  <si>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</si>
  <si>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</si>
  <si>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</si>
  <si>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</si>
  <si>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</si>
  <si>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</si>
  <si>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</si>
  <si>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</si>
  <si>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</si>
  <si>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</si>
  <si>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</si>
  <si>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</si>
  <si>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</si>
  <si>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</si>
  <si>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</si>
  <si>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</si>
  <si>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</si>
  <si>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</si>
  <si>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</si>
  <si>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</si>
  <si>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</si>
  <si>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</si>
  <si>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</si>
  <si>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</si>
  <si>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</si>
  <si>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</si>
  <si>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</si>
  <si>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</si>
  <si>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</si>
  <si>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</si>
  <si>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</si>
  <si>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</si>
  <si>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</si>
  <si>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</si>
  <si>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</si>
  <si>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</si>
  <si>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</si>
  <si>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</si>
  <si>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</si>
  <si>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</si>
  <si>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</si>
  <si>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</si>
  <si>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</si>
  <si>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</si>
  <si>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</si>
  <si>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</si>
  <si>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</si>
  <si>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</si>
  <si>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</si>
  <si>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</si>
  <si>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</si>
  <si>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</si>
  <si>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</si>
  <si>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</si>
  <si>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</si>
  <si>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</si>
  <si>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</si>
  <si>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</si>
  <si>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</si>
  <si>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</si>
  <si>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</si>
  <si>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</si>
  <si>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</si>
  <si>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</si>
  <si>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</si>
  <si>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</si>
  <si>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</si>
  <si>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</si>
  <si>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</si>
  <si>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</si>
  <si>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</si>
  <si>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</si>
  <si>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</si>
  <si>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</si>
  <si>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</si>
  <si>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</si>
  <si>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</si>
  <si>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</si>
  <si>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</si>
  <si>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</si>
  <si>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</si>
  <si>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</si>
  <si>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</si>
  <si>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</si>
  <si>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</si>
  <si>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</si>
  <si>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</si>
  <si>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</si>
  <si>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</si>
  <si>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</si>
  <si>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</si>
  <si>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</si>
  <si>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</si>
  <si>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</si>
  <si>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</si>
  <si>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</si>
  <si>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</si>
  <si>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</si>
  <si>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</si>
  <si>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</si>
  <si>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</si>
  <si>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</si>
  <si>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</si>
  <si>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</si>
  <si>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</si>
  <si>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</si>
  <si>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</si>
  <si>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</si>
  <si>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</si>
  <si>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</si>
  <si>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</si>
  <si>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</si>
  <si>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</si>
  <si>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</si>
  <si>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</si>
  <si>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</si>
  <si>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</si>
  <si>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</si>
  <si>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</si>
  <si>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</si>
  <si>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</si>
  <si>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</si>
  <si>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</si>
  <si>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</si>
  <si>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</si>
  <si>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</si>
  <si>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</si>
  <si>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</si>
  <si>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</si>
  <si>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</si>
  <si>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</si>
  <si>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</si>
  <si>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</si>
  <si>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</si>
  <si>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</si>
  <si>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</si>
  <si>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</si>
  <si>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</si>
  <si>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</si>
  <si>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</si>
  <si>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</si>
  <si>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</si>
  <si>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</si>
  <si>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</si>
  <si>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</si>
  <si>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</si>
  <si>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</si>
  <si>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</si>
  <si>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</si>
  <si>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</si>
  <si>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</si>
  <si>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</si>
  <si>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</si>
  <si>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</si>
  <si>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</si>
  <si>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</si>
  <si>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</si>
  <si>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</si>
  <si>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</si>
  <si>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</si>
  <si>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</si>
  <si>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</si>
  <si>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</si>
  <si>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</si>
  <si>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</si>
  <si>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</si>
  <si>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</si>
  <si>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</si>
  <si>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</si>
  <si>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</si>
  <si>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</si>
  <si>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</si>
  <si>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</si>
  <si>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</si>
  <si>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</si>
  <si>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</si>
  <si>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</si>
  <si>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</si>
  <si>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</si>
  <si>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</si>
  <si>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</si>
  <si>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</si>
  <si>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</si>
  <si>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</si>
  <si>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</si>
  <si>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</si>
  <si>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</si>
  <si>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</si>
  <si>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</si>
  <si>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</si>
  <si>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</si>
  <si>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</si>
  <si>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</si>
  <si>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</si>
  <si>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</si>
  <si>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</si>
  <si>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</si>
  <si>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</si>
  <si>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</si>
  <si>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</si>
  <si>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</si>
  <si>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</si>
  <si>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</si>
  <si>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</si>
  <si>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</si>
  <si>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</si>
  <si>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</si>
  <si>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</si>
  <si>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</si>
  <si>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</si>
  <si>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</si>
  <si>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</si>
  <si>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</si>
  <si>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</si>
  <si>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</si>
  <si>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</si>
  <si>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</si>
  <si>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</si>
  <si>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</si>
  <si>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</si>
  <si>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</si>
  <si>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</si>
  <si>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</si>
  <si>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</si>
  <si>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</si>
  <si>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</si>
  <si>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</si>
  <si>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</si>
  <si>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</si>
  <si>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</si>
  <si>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</si>
  <si>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</si>
  <si>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</si>
  <si>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</si>
  <si>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</si>
  <si>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</si>
  <si>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</si>
  <si>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</si>
  <si>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</si>
  <si>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</si>
  <si>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</si>
  <si>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</si>
  <si>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</si>
  <si>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</si>
  <si>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</si>
  <si>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</si>
  <si>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</si>
  <si>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</si>
  <si>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</si>
  <si>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</si>
  <si>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</si>
  <si>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</si>
  <si>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</si>
  <si>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</si>
  <si>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</si>
  <si>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</si>
  <si>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</si>
  <si>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</si>
  <si>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</si>
  <si>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</si>
  <si>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</si>
  <si>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</si>
  <si>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</si>
  <si>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</si>
  <si>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</si>
  <si>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</si>
  <si>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</si>
  <si>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</si>
  <si>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</si>
  <si>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</si>
  <si>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</si>
  <si>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</si>
  <si>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</si>
  <si>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</si>
  <si>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</si>
  <si>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</si>
  <si>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</si>
  <si>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</si>
  <si>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</si>
  <si>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</si>
  <si>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</si>
  <si>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</si>
  <si>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</si>
  <si>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</si>
  <si>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</si>
  <si>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</si>
  <si>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</si>
  <si>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</si>
  <si>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</si>
  <si>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</si>
  <si>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</si>
  <si>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</si>
  <si>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</si>
  <si>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</si>
  <si>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</si>
  <si>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</si>
  <si>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</si>
  <si>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</si>
  <si>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</si>
  <si>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</si>
  <si>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</si>
  <si>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</si>
  <si>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</si>
  <si>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</si>
  <si>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</si>
  <si>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</si>
  <si>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</si>
  <si>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</si>
  <si>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</si>
  <si>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</si>
  <si>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</si>
  <si>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</si>
  <si>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</si>
  <si>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</si>
  <si>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</si>
  <si>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</si>
  <si>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</si>
  <si>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</si>
  <si>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</si>
  <si>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</si>
  <si>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</si>
  <si>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</si>
  <si>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</si>
  <si>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</si>
  <si>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</si>
  <si>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</si>
  <si>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</si>
  <si>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</si>
  <si>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</si>
  <si>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</si>
  <si>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</si>
  <si>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</si>
  <si>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</si>
  <si>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</si>
  <si>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</si>
  <si>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</si>
  <si>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</si>
  <si>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</si>
  <si>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</si>
  <si>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</si>
  <si>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</si>
  <si>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</si>
  <si>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</si>
  <si>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</si>
  <si>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</si>
  <si>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</si>
  <si>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</si>
  <si>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</si>
  <si>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</si>
  <si>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</si>
  <si>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</si>
  <si>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</si>
  <si>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</si>
  <si>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</si>
  <si>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</si>
  <si>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</si>
  <si>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</si>
  <si>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</si>
  <si>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</si>
  <si>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</si>
  <si>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</si>
  <si>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</si>
  <si>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</si>
  <si>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</si>
  <si>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</si>
  <si>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</si>
  <si>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</si>
  <si>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</si>
  <si>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</si>
  <si>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</si>
  <si>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</si>
  <si>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</si>
  <si>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</si>
  <si>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</si>
  <si>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</si>
  <si>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</si>
  <si>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</si>
  <si>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</si>
  <si>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</si>
  <si>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</si>
  <si>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</si>
  <si>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</si>
  <si>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</si>
  <si>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</si>
  <si>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</si>
  <si>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</si>
  <si>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</si>
  <si>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</si>
  <si>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</si>
  <si>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</si>
  <si>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</si>
  <si>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</si>
  <si>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</si>
  <si>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</si>
  <si>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</si>
  <si>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</si>
  <si>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</si>
  <si>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</si>
  <si>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</si>
  <si>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</si>
  <si>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</si>
  <si>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</si>
  <si>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</si>
  <si>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</si>
  <si>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</si>
  <si>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</si>
  <si>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</si>
  <si>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</si>
  <si>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</si>
  <si>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</si>
  <si>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</si>
  <si>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</si>
  <si>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</si>
  <si>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</si>
  <si>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</si>
  <si>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</si>
  <si>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</si>
  <si>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</si>
  <si>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</si>
  <si>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</si>
  <si>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</si>
  <si>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</si>
  <si>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</si>
  <si>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</si>
  <si>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</si>
  <si>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</si>
  <si>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</si>
  <si>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</si>
  <si>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</si>
  <si>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</si>
  <si>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</si>
  <si>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</si>
  <si>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</si>
  <si>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</si>
  <si>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</si>
  <si>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</si>
  <si>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</si>
  <si>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</si>
  <si>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</si>
  <si>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</si>
  <si>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</si>
  <si>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</si>
  <si>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</si>
  <si>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</si>
  <si>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</si>
  <si>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</si>
  <si>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</si>
  <si>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</si>
  <si>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</si>
  <si>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</si>
  <si>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</si>
  <si>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</si>
  <si>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</si>
  <si>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</si>
  <si>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</si>
  <si>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</si>
  <si>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</si>
  <si>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</si>
  <si>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</si>
  <si>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</si>
  <si>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</si>
  <si>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</si>
  <si>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</si>
  <si>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</si>
  <si>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</si>
  <si>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</si>
  <si>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</si>
  <si>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</si>
  <si>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</si>
  <si>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</si>
  <si>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</si>
  <si>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</si>
  <si>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</si>
  <si>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</si>
  <si>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</si>
  <si>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</si>
  <si>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</si>
  <si>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</si>
  <si>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</si>
  <si>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</si>
  <si>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</si>
  <si>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</si>
  <si>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</si>
  <si>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</si>
  <si>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</si>
  <si>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</si>
  <si>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</si>
  <si>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</si>
  <si>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</si>
  <si>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</si>
  <si>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</si>
  <si>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</si>
  <si>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</si>
  <si>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</si>
  <si>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</si>
  <si>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</si>
  <si>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</si>
  <si>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</si>
  <si>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</si>
  <si>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</si>
  <si>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</si>
  <si>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</si>
  <si>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</si>
  <si>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</si>
  <si>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</si>
  <si>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</si>
  <si>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</si>
  <si>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</si>
  <si>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</si>
  <si>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</si>
  <si>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</si>
  <si>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</si>
  <si>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</si>
  <si>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</si>
  <si>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</si>
  <si>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</si>
  <si>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</si>
  <si>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</si>
  <si>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</si>
  <si>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</si>
  <si>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</si>
  <si>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</si>
  <si>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</si>
  <si>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</si>
  <si>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</si>
  <si>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</si>
  <si>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</si>
  <si>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</si>
  <si>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</si>
  <si>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</si>
  <si>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</si>
  <si>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</si>
  <si>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</si>
  <si>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</si>
  <si>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</si>
  <si>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</si>
  <si>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</si>
  <si>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</si>
  <si>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</si>
  <si>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</si>
  <si>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</si>
  <si>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</si>
  <si>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</si>
  <si>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</si>
  <si>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</si>
  <si>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</si>
  <si>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</si>
  <si>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</si>
  <si>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</si>
  <si>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</si>
  <si>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</si>
  <si>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</si>
  <si>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</si>
  <si>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</si>
  <si>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</si>
  <si>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</si>
  <si>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</si>
  <si>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</si>
  <si>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</si>
  <si>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</si>
  <si>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</si>
  <si>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</si>
  <si>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</si>
  <si>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</si>
  <si>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</si>
  <si>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</si>
  <si>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</si>
  <si>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</si>
  <si>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</si>
  <si>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</si>
  <si>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</si>
  <si>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</si>
  <si>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</si>
  <si>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</si>
  <si>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</si>
  <si>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</si>
  <si>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</si>
  <si>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</si>
  <si>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</si>
  <si>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</si>
  <si>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</si>
  <si>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</si>
  <si>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</si>
  <si>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</si>
  <si>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</si>
  <si>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</si>
  <si>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</si>
  <si>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</si>
  <si>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</si>
  <si>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</si>
  <si>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</si>
  <si>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</si>
  <si>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</si>
  <si>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</si>
  <si>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</si>
  <si>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</si>
  <si>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</si>
  <si>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</si>
  <si>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</si>
  <si>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</si>
  <si>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</si>
  <si>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</si>
  <si>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</si>
  <si>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</si>
  <si>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</si>
  <si>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</si>
  <si>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</si>
  <si>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</si>
  <si>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</si>
  <si>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</si>
  <si>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</si>
  <si>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</si>
  <si>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</si>
  <si>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</si>
  <si>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</si>
  <si>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</si>
  <si>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</si>
  <si>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</si>
  <si>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</si>
  <si>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</si>
  <si>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</si>
  <si>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</si>
  <si>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</si>
  <si>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</si>
  <si>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</si>
  <si>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</si>
  <si>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</si>
  <si>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</si>
  <si>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</si>
  <si>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</si>
  <si>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</si>
  <si>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</si>
  <si>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</si>
  <si>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</si>
  <si>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</si>
  <si>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</si>
  <si>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</si>
  <si>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</si>
  <si>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</si>
  <si>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</si>
  <si>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</si>
  <si>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</si>
  <si>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</si>
  <si>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</si>
  <si>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</si>
  <si>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</si>
  <si>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</si>
  <si>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</si>
  <si>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</si>
  <si>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</si>
  <si>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</si>
  <si>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</si>
  <si>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</si>
  <si>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</si>
  <si>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</si>
  <si>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</si>
  <si>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</si>
  <si>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</si>
  <si>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</si>
  <si>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</si>
  <si>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</si>
  <si>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</si>
  <si>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</si>
  <si>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</si>
  <si>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</si>
  <si>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</si>
  <si>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</si>
  <si>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</si>
  <si>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</si>
  <si>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</si>
  <si>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</si>
  <si>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</si>
  <si>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</si>
  <si>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</si>
  <si>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</si>
  <si>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</si>
  <si>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</si>
  <si>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</si>
  <si>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</si>
  <si>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</si>
  <si>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</si>
  <si>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</si>
  <si>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</si>
  <si>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</si>
  <si>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</si>
  <si>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</si>
  <si>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</si>
  <si>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</si>
  <si>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</si>
  <si>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</si>
  <si>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</si>
  <si>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</si>
  <si>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</si>
  <si>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</si>
  <si>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</si>
  <si>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</si>
  <si>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</si>
  <si>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</si>
  <si>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</si>
  <si>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</si>
  <si>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</si>
  <si>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</si>
  <si>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</si>
  <si>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</si>
  <si>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</si>
  <si>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</si>
  <si>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</si>
  <si>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</si>
  <si>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</si>
  <si>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</si>
  <si>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</si>
  <si>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</si>
  <si>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</si>
  <si>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</si>
  <si>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</si>
  <si>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</si>
  <si>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</si>
  <si>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</si>
  <si>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</si>
  <si>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</si>
  <si>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</si>
  <si>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</si>
  <si>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</si>
  <si>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</si>
  <si>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</si>
  <si>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</si>
  <si>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</si>
  <si>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</si>
  <si>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</si>
  <si>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</si>
  <si>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</si>
  <si>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</si>
  <si>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</si>
  <si>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</si>
  <si>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</si>
  <si>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</si>
  <si>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</si>
  <si>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</si>
  <si>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</si>
  <si>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</si>
  <si>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</si>
  <si>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</si>
  <si>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</si>
  <si>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</si>
  <si>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</si>
  <si>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</si>
  <si>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</si>
  <si>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</si>
  <si>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</si>
  <si>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</si>
  <si>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</si>
  <si>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</si>
  <si>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</si>
  <si>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</si>
  <si>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</si>
  <si>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</si>
  <si>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</si>
  <si>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</si>
  <si>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</si>
  <si>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</si>
  <si>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</si>
  <si>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</si>
  <si>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</si>
  <si>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</si>
  <si>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</si>
  <si>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</si>
  <si>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</si>
  <si>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</si>
  <si>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</si>
  <si>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</si>
  <si>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</si>
  <si>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</si>
  <si>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</si>
  <si>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</si>
  <si>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</si>
  <si>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</si>
  <si>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</si>
  <si>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</si>
  <si>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</si>
  <si>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</si>
  <si>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</si>
  <si>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</si>
  <si>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</si>
  <si>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</si>
  <si>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</si>
  <si>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</si>
  <si>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</si>
  <si>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</si>
  <si>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</si>
  <si>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</si>
  <si>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</si>
  <si>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</si>
  <si>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</si>
  <si>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</si>
  <si>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</si>
  <si>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</si>
  <si>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</si>
  <si>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</si>
  <si>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</si>
  <si>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</si>
  <si>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</si>
  <si>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</si>
  <si>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</si>
  <si>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</si>
  <si>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</si>
  <si>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</si>
  <si>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</si>
  <si>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</si>
  <si>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</si>
  <si>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</si>
  <si>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</si>
  <si>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</si>
  <si>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</si>
  <si>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</si>
  <si>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</si>
  <si>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</si>
  <si>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</si>
  <si>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</si>
  <si>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</si>
  <si>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</si>
  <si>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</si>
  <si>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</si>
  <si>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</si>
  <si>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</si>
  <si>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</si>
  <si>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</si>
  <si>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</si>
  <si>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</si>
  <si>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</si>
  <si>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</si>
  <si>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</si>
  <si>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</si>
  <si>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</si>
  <si>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</si>
  <si>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</si>
  <si>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</si>
  <si>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</si>
  <si>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</si>
  <si>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</si>
  <si>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</si>
  <si>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</si>
  <si>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</si>
  <si>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</si>
  <si>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</si>
  <si>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</si>
  <si>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</si>
  <si>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</si>
  <si>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</si>
  <si>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</si>
  <si>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</si>
  <si>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</si>
  <si>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</si>
  <si>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</si>
  <si>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</si>
  <si>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</si>
  <si>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</si>
  <si>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</si>
  <si>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</si>
  <si>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</si>
  <si>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</si>
  <si>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</si>
  <si>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</si>
  <si>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</si>
  <si>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</si>
  <si>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</si>
  <si>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</si>
  <si>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</si>
  <si>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</si>
  <si>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</si>
  <si>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</si>
  <si>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</si>
  <si>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</si>
  <si>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</si>
  <si>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</si>
  <si>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</si>
  <si>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</si>
  <si>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</si>
  <si>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</si>
  <si>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</si>
  <si>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</si>
  <si>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</si>
  <si>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</si>
  <si>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</si>
  <si>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</si>
  <si>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</si>
  <si>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</si>
  <si>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</si>
  <si>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</si>
  <si>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</si>
  <si>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</si>
  <si>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</si>
  <si>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</si>
  <si>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</si>
  <si>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</si>
  <si>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</si>
  <si>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</si>
  <si>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</si>
  <si>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</si>
  <si>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</si>
  <si>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</si>
  <si>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</si>
  <si>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</si>
  <si>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</si>
  <si>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</si>
  <si>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</si>
  <si>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</si>
  <si>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</si>
  <si>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</si>
  <si>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</si>
  <si>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</si>
  <si>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</si>
  <si>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</si>
  <si>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</si>
  <si>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</si>
  <si>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</si>
  <si>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</si>
  <si>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</si>
  <si>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</si>
  <si>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</si>
  <si>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</si>
  <si>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</si>
  <si>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</si>
  <si>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</si>
  <si>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</si>
  <si>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</si>
  <si>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</si>
  <si>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</si>
  <si>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</si>
  <si>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</si>
  <si>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</si>
  <si>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</si>
  <si>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</si>
  <si>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</si>
  <si>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</si>
  <si>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</si>
  <si>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</si>
  <si>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</si>
  <si>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</si>
  <si>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</si>
  <si>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</si>
  <si>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</si>
  <si>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</si>
  <si>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</si>
  <si>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</si>
  <si>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</si>
  <si>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</si>
  <si>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</si>
  <si>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</si>
  <si>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</si>
  <si>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</si>
  <si>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</si>
  <si>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</si>
  <si>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</si>
  <si>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</si>
  <si>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</si>
  <si>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</si>
  <si>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</si>
  <si>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</si>
  <si>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</si>
  <si>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</si>
  <si>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</si>
  <si>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</si>
  <si>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</si>
  <si>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</si>
  <si>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</si>
  <si>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</si>
  <si>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</si>
  <si>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</si>
  <si>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</si>
  <si>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</si>
  <si>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</si>
  <si>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</si>
  <si>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</si>
  <si>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</si>
  <si>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</si>
  <si>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</si>
  <si>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</si>
  <si>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</si>
  <si>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</si>
  <si>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</si>
  <si>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</si>
  <si>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</si>
  <si>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</si>
  <si>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</si>
  <si>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</si>
  <si>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</si>
  <si>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</si>
  <si>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</si>
  <si>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</si>
  <si>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</si>
  <si>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</si>
  <si>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</si>
  <si>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</si>
  <si>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</si>
  <si>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</si>
  <si>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</si>
  <si>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</si>
  <si>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</si>
  <si>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</si>
  <si>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</si>
  <si>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</si>
  <si>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</si>
  <si>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</si>
  <si>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</si>
  <si>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</si>
  <si>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</si>
  <si>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</si>
  <si>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</si>
  <si>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</si>
  <si>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</si>
  <si>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</si>
  <si>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</si>
  <si>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</si>
  <si>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</si>
  <si>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</si>
  <si>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</si>
  <si>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</si>
  <si>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</si>
  <si>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</si>
  <si>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</si>
  <si>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</si>
  <si>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</si>
  <si>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</si>
  <si>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</si>
  <si>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</si>
  <si>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</si>
  <si>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</si>
  <si>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</si>
  <si>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</si>
  <si>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</si>
  <si>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</si>
  <si>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</si>
  <si>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</si>
  <si>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</si>
  <si>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</si>
  <si>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</si>
  <si>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</si>
  <si>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</si>
  <si>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</si>
  <si>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</si>
  <si>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</si>
  <si>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</si>
  <si>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</si>
  <si>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</si>
  <si>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</si>
  <si>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</si>
  <si>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</si>
  <si>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</si>
  <si>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</si>
  <si>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</si>
  <si>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</si>
  <si>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</si>
  <si>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</si>
  <si>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</si>
  <si>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</si>
  <si>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</si>
  <si>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</si>
  <si>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</si>
  <si>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</si>
  <si>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</si>
  <si>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</si>
  <si>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</si>
  <si>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</si>
  <si>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</si>
  <si>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</si>
  <si>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</si>
  <si>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</si>
  <si>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</si>
  <si>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</si>
  <si>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</si>
  <si>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</si>
  <si>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</si>
  <si>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</si>
  <si>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</si>
  <si>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</si>
  <si>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</si>
  <si>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</si>
  <si>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</si>
  <si>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</si>
  <si>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</si>
  <si>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</si>
  <si>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</si>
  <si>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</si>
  <si>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</si>
  <si>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</si>
  <si>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</si>
  <si>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</si>
  <si>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</si>
  <si>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</si>
  <si>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</si>
  <si>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</si>
  <si>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</si>
  <si>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</si>
  <si>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</si>
  <si>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</si>
  <si>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</si>
  <si>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</si>
  <si>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</si>
  <si>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</si>
  <si>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</si>
  <si>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</si>
  <si>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</si>
  <si>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</si>
  <si>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</si>
  <si>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</si>
  <si>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</si>
  <si>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</si>
  <si>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</si>
  <si>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</si>
  <si>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</si>
  <si>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</si>
  <si>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</si>
  <si>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</si>
  <si>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</si>
  <si>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</si>
  <si>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</si>
  <si>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</si>
  <si>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</si>
  <si>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</si>
  <si>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</si>
  <si>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</si>
  <si>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</si>
  <si>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</si>
  <si>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</si>
  <si>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</si>
  <si>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</si>
  <si>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</si>
  <si>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</si>
  <si>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</si>
  <si>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</si>
  <si>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</si>
  <si>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</si>
  <si>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</si>
  <si>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</si>
  <si>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</si>
  <si>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</si>
  <si>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</si>
  <si>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</si>
  <si>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</si>
  <si>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</si>
  <si>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</si>
  <si>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</si>
  <si>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</si>
  <si>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</si>
  <si>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</si>
  <si>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</si>
  <si>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</si>
  <si>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</si>
  <si>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</si>
  <si>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</si>
  <si>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</si>
  <si>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</si>
  <si>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</si>
  <si>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</si>
  <si>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</si>
  <si>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</si>
  <si>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</si>
  <si>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</si>
  <si>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</si>
  <si>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</si>
  <si>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</si>
  <si>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</si>
  <si>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</si>
  <si>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</si>
  <si>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</si>
  <si>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</si>
  <si>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</si>
  <si>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</si>
  <si>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</si>
  <si>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</si>
  <si>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</si>
  <si>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</si>
  <si>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</si>
  <si>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</si>
  <si>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</si>
  <si>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</si>
  <si>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</si>
  <si>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</si>
  <si>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</si>
  <si>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</si>
  <si>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</si>
  <si>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</si>
  <si>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</si>
  <si>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</si>
  <si>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</si>
  <si>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</si>
  <si>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</si>
  <si>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</si>
  <si>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</si>
  <si>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</si>
  <si>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</si>
  <si>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</si>
  <si>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</si>
  <si>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</si>
  <si>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</si>
  <si>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</si>
  <si>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</si>
  <si>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</si>
  <si>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</si>
  <si>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</si>
  <si>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</si>
  <si>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</si>
  <si>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</si>
  <si>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</si>
  <si>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</si>
  <si>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</si>
  <si>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</si>
  <si>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</si>
  <si>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</si>
  <si>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</si>
  <si>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</si>
  <si>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</si>
  <si>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</si>
  <si>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</si>
  <si>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</si>
  <si>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</si>
  <si>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</si>
  <si>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</si>
  <si>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</si>
  <si>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</si>
  <si>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</si>
  <si>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</si>
  <si>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</si>
  <si>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</si>
  <si>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</si>
  <si>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</si>
  <si>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</si>
  <si>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</si>
  <si>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</si>
  <si>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</si>
  <si>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</si>
  <si>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</si>
  <si>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</si>
  <si>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</si>
  <si>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</si>
  <si>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</si>
  <si>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</si>
  <si>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</si>
  <si>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</si>
  <si>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</si>
  <si>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</si>
  <si>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</si>
  <si>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</si>
  <si>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</si>
  <si>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</si>
  <si>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</si>
  <si>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</si>
  <si>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</si>
  <si>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</si>
  <si>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</si>
  <si>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</si>
  <si>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</si>
  <si>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</si>
  <si>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</si>
  <si>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</si>
  <si>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</si>
  <si>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</si>
  <si>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</si>
  <si>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</si>
  <si>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</si>
  <si>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</si>
  <si>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</si>
  <si>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</si>
  <si>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</si>
  <si>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</si>
  <si>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</si>
  <si>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</si>
  <si>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</si>
  <si>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</si>
  <si>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</si>
  <si>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</si>
  <si>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</si>
  <si>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</si>
  <si>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</si>
  <si>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</si>
  <si>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</si>
  <si>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</si>
  <si>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</si>
  <si>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</si>
  <si>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</si>
  <si>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</si>
  <si>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</si>
  <si>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</si>
  <si>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</si>
  <si>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</si>
  <si>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</si>
  <si>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</si>
  <si>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</si>
  <si>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</si>
  <si>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</si>
  <si>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</si>
  <si>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</si>
  <si>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</si>
  <si>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</si>
  <si>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</si>
  <si>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</si>
  <si>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</si>
  <si>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</si>
  <si>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</si>
  <si>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</si>
  <si>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</si>
  <si>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</si>
  <si>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</si>
  <si>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</si>
  <si>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</si>
  <si>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</si>
  <si>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</si>
  <si>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</si>
  <si>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</si>
  <si>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</si>
  <si>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</si>
  <si>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</si>
  <si>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</si>
  <si>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</si>
  <si>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</si>
  <si>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</si>
  <si>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</si>
  <si>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</si>
  <si>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</si>
  <si>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</si>
  <si>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</si>
  <si>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</si>
  <si>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</si>
  <si>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</si>
  <si>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</si>
  <si>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</si>
  <si>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</si>
  <si>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</si>
  <si>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</si>
  <si>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</si>
  <si>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</si>
  <si>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</si>
  <si>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</si>
  <si>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</si>
  <si>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</si>
  <si>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</si>
  <si>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</si>
  <si>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</si>
  <si>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</si>
  <si>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</si>
  <si>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</si>
  <si>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</si>
  <si>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</si>
  <si>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</si>
  <si>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</si>
  <si>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</si>
  <si>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</si>
  <si>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</si>
  <si>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</si>
  <si>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</si>
  <si>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</si>
  <si>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</si>
  <si>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</si>
  <si>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</si>
  <si>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</si>
  <si>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</si>
  <si>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</si>
  <si>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</si>
  <si>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</si>
  <si>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</si>
  <si>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</si>
  <si>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</si>
  <si>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</si>
  <si>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</si>
  <si>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</si>
  <si>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</si>
  <si>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</si>
  <si>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</si>
  <si>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</si>
  <si>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</si>
  <si>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</si>
  <si>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</si>
  <si>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</si>
  <si>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</si>
  <si>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</si>
  <si>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</si>
  <si>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</si>
  <si>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</si>
  <si>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</si>
  <si>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</si>
  <si>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</si>
  <si>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</si>
  <si>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</si>
  <si>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</si>
  <si>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</si>
  <si>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</si>
  <si>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</si>
  <si>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</si>
  <si>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</si>
  <si>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</si>
  <si>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</si>
  <si>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</si>
  <si>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</si>
  <si>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</si>
  <si>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</si>
  <si>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</si>
  <si>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</si>
  <si>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</si>
  <si>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</si>
  <si>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</si>
  <si>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</si>
  <si>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</si>
  <si>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</si>
  <si>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</si>
  <si>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</si>
  <si>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</si>
  <si>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</si>
  <si>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</si>
  <si>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</si>
  <si>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</si>
  <si>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</si>
  <si>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</si>
  <si>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</si>
  <si>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</si>
  <si>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</si>
  <si>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</si>
  <si>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</si>
  <si>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</si>
  <si>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</si>
  <si>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</si>
  <si>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</si>
  <si>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</si>
  <si>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</si>
  <si>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</si>
  <si>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</si>
  <si>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</si>
  <si>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</si>
  <si>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</si>
  <si>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</si>
  <si>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</si>
  <si>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</si>
  <si>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</si>
  <si>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</si>
  <si>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</si>
  <si>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</si>
  <si>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</si>
  <si>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</si>
  <si>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</si>
  <si>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</si>
  <si>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</si>
  <si>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</si>
  <si>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</si>
  <si>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</si>
  <si>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</si>
  <si>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</si>
  <si>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</si>
  <si>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</si>
  <si>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</si>
  <si>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</si>
  <si>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</si>
  <si>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</si>
  <si>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</si>
  <si>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</si>
  <si>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</si>
  <si>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</si>
  <si>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</si>
  <si>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</si>
  <si>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</si>
  <si>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</si>
  <si>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</si>
  <si>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</si>
  <si>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</si>
  <si>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</si>
  <si>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</si>
  <si>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</si>
  <si>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</si>
  <si>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</si>
  <si>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</si>
  <si>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</si>
  <si>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</si>
  <si>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</si>
  <si>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</si>
  <si>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</si>
  <si>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</si>
  <si>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</si>
  <si>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</si>
  <si>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</si>
  <si>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</si>
  <si>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</si>
  <si>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</si>
  <si>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</si>
  <si>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</si>
  <si>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</si>
  <si>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</si>
  <si>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</si>
  <si>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</si>
  <si>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</si>
  <si>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</si>
  <si>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</si>
  <si>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</si>
  <si>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</si>
  <si>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</si>
  <si>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</si>
  <si>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</si>
  <si>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</si>
  <si>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</si>
  <si>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</si>
  <si>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</si>
  <si>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</si>
  <si>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</si>
  <si>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</si>
  <si>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</si>
  <si>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</si>
  <si>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</si>
  <si>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</si>
  <si>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</si>
  <si>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</si>
  <si>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</si>
  <si>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</si>
  <si>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</si>
  <si>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</si>
  <si>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</si>
  <si>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</si>
  <si>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</si>
  <si>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</si>
  <si>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</si>
  <si>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</si>
  <si>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</si>
  <si>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</si>
  <si>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</si>
  <si>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</si>
  <si>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</si>
  <si>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</si>
  <si>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</si>
  <si>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</si>
  <si>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</si>
  <si>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</si>
  <si>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</si>
  <si>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</si>
  <si>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</si>
  <si>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</si>
  <si>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</si>
  <si>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</si>
  <si>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</si>
  <si>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</si>
  <si>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</si>
  <si>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</si>
  <si>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</si>
  <si>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</si>
  <si>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</si>
  <si>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</si>
  <si>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</si>
  <si>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</si>
  <si>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</si>
  <si>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</si>
  <si>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</si>
  <si>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</si>
  <si>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</si>
  <si>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</si>
  <si>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</si>
  <si>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</si>
  <si>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</si>
  <si>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</si>
  <si>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</si>
  <si>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</si>
  <si>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</si>
  <si>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</si>
  <si>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</si>
  <si>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</si>
  <si>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</si>
  <si>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</si>
  <si>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</si>
  <si>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</si>
  <si>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</si>
  <si>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</si>
  <si>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</si>
  <si>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</si>
  <si>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</si>
  <si>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</si>
  <si>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</si>
  <si>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</si>
  <si>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</si>
  <si>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</si>
  <si>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</si>
  <si>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</si>
  <si>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</si>
  <si>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</si>
  <si>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</si>
  <si>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</si>
  <si>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</si>
  <si>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</si>
  <si>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</si>
  <si>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</si>
  <si>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</si>
  <si>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</si>
  <si>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</si>
  <si>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</si>
  <si>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</si>
  <si>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</si>
  <si>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</si>
  <si>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</si>
  <si>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</si>
  <si>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</si>
  <si>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</si>
  <si>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</si>
  <si>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</si>
  <si>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</si>
  <si>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</si>
  <si>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</si>
  <si>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</si>
  <si>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</si>
  <si>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</si>
  <si>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</si>
  <si>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</si>
  <si>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</si>
  <si>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</si>
  <si>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</si>
  <si>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</si>
  <si>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</si>
  <si>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</si>
  <si>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</si>
  <si>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</si>
  <si>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</si>
  <si>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</si>
  <si>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</si>
  <si>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</si>
  <si>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</si>
  <si>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</si>
  <si>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</si>
  <si>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</si>
  <si>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</si>
  <si>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</si>
  <si>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</si>
  <si>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</si>
  <si>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</si>
  <si>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</si>
  <si>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</si>
  <si>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</si>
  <si>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</si>
  <si>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</si>
  <si>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</si>
  <si>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</si>
  <si>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</si>
  <si>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</si>
  <si>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</si>
  <si>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</si>
  <si>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</si>
  <si>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</si>
  <si>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</si>
  <si>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</si>
  <si>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</si>
  <si>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</si>
  <si>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</si>
  <si>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</si>
  <si>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</si>
  <si>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</si>
  <si>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</si>
  <si>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</si>
  <si>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</si>
  <si>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</si>
  <si>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</si>
  <si>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</si>
  <si>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</si>
  <si>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</si>
  <si>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</si>
  <si>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</si>
  <si>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</si>
  <si>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</si>
  <si>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</si>
  <si>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</si>
  <si>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</si>
  <si>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</si>
  <si>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</si>
  <si>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</si>
  <si>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</si>
  <si>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</si>
  <si>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</si>
  <si>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</si>
  <si>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</si>
  <si>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</si>
  <si>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</si>
  <si>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</si>
  <si>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</si>
  <si>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</si>
  <si>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</si>
  <si>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</si>
  <si>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</si>
  <si>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</si>
  <si>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</si>
  <si>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</si>
  <si>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</si>
  <si>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</si>
  <si>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</si>
  <si>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</si>
  <si>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</si>
  <si>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</si>
  <si>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</si>
  <si>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</si>
  <si>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</si>
  <si>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</si>
  <si>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</si>
  <si>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</si>
  <si>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</si>
  <si>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</si>
  <si>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</si>
  <si>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</si>
  <si>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</si>
  <si>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</si>
  <si>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</si>
  <si>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</si>
  <si>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</si>
  <si>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</si>
  <si>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</si>
  <si>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</si>
  <si>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</si>
  <si>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</si>
  <si>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</si>
  <si>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</si>
  <si>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</si>
  <si>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</si>
  <si>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</si>
  <si>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</si>
  <si>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</si>
  <si>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</si>
  <si>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</si>
  <si>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</si>
  <si>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</si>
  <si>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</si>
  <si>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</si>
  <si>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</si>
  <si>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</si>
  <si>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</si>
  <si>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</si>
  <si>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</si>
  <si>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</si>
  <si>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</si>
  <si>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</si>
  <si>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</si>
  <si>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</si>
  <si>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</si>
  <si>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</si>
  <si>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</si>
  <si>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</si>
  <si>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</si>
  <si>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</si>
  <si>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</si>
  <si>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</si>
  <si>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</si>
  <si>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</si>
  <si>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</si>
  <si>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</si>
  <si>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</si>
  <si>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</si>
  <si>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</si>
  <si>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</si>
  <si>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</si>
  <si>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</si>
  <si>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</si>
  <si>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</si>
  <si>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</si>
  <si>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</si>
  <si>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</si>
  <si>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</si>
  <si>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</si>
  <si>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</si>
  <si>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</si>
  <si>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</si>
  <si>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</si>
  <si>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</si>
  <si>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</si>
  <si>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</si>
  <si>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</si>
  <si>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</si>
  <si>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</si>
  <si>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</si>
  <si>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</si>
  <si>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</si>
  <si>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</si>
  <si>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</si>
  <si>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</si>
  <si>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</si>
  <si>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</si>
  <si>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</si>
  <si>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</si>
  <si>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</si>
  <si>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</si>
  <si>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</si>
  <si>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</si>
  <si>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</si>
  <si>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</si>
  <si>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</si>
  <si>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</si>
  <si>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</si>
  <si>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</si>
  <si>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</si>
  <si>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</si>
  <si>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</si>
  <si>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</si>
  <si>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</si>
  <si>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</si>
  <si>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</si>
  <si>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</si>
  <si>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</si>
  <si>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</si>
  <si>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</si>
  <si>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</si>
  <si>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</si>
  <si>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</si>
  <si>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</si>
  <si>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</si>
  <si>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</si>
  <si>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</si>
  <si>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</si>
  <si>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</si>
  <si>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</si>
  <si>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</si>
  <si>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</si>
  <si>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</si>
  <si>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</si>
  <si>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</si>
  <si>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</si>
  <si>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</si>
  <si>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</si>
  <si>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</si>
  <si>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</si>
  <si>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</si>
  <si>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</si>
  <si>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</si>
  <si>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</si>
  <si>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</si>
  <si>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</si>
  <si>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</si>
  <si>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</si>
  <si>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</si>
  <si>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</si>
  <si>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</si>
  <si>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</si>
  <si>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</si>
  <si>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</si>
  <si>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</si>
  <si>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</si>
  <si>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</si>
  <si>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</si>
  <si>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</si>
  <si>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</si>
  <si>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</si>
  <si>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</si>
  <si>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</si>
  <si>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</si>
  <si>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</si>
  <si>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</si>
  <si>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</si>
  <si>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</si>
  <si>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</si>
  <si>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</si>
  <si>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</si>
  <si>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</si>
  <si>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</si>
  <si>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</si>
  <si>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</si>
  <si>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</si>
  <si>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</si>
  <si>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</si>
  <si>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</si>
  <si>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</si>
  <si>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</si>
  <si>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</si>
  <si>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</si>
  <si>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</si>
  <si>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</si>
  <si>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</si>
  <si>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</si>
  <si>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</si>
  <si>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</si>
  <si>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</si>
  <si>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</si>
  <si>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</si>
  <si>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</si>
  <si>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</si>
  <si>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</si>
  <si>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</si>
  <si>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</si>
  <si>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</si>
  <si>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</si>
  <si>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</si>
  <si>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</si>
  <si>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</si>
  <si>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</si>
  <si>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</si>
  <si>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</si>
  <si>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</si>
  <si>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</si>
  <si>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</si>
  <si>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</si>
  <si>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</si>
  <si>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</si>
  <si>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</si>
  <si>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</si>
  <si>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</si>
  <si>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</si>
  <si>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</si>
  <si>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</si>
  <si>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</si>
  <si>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</si>
  <si>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</si>
  <si>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</si>
  <si>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</si>
  <si>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</si>
  <si>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</si>
  <si>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</si>
  <si>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</si>
  <si>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</si>
  <si>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</si>
  <si>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</si>
  <si>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</si>
  <si>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</si>
  <si>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</si>
  <si>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</si>
  <si>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</si>
  <si>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</si>
  <si>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</si>
  <si>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</si>
  <si>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</si>
  <si>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</si>
  <si>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</si>
  <si>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</si>
  <si>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</si>
  <si>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</si>
  <si>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</si>
  <si>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</si>
  <si>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</si>
  <si>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</si>
  <si>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</si>
  <si>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</si>
  <si>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</si>
  <si>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</si>
  <si>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</si>
  <si>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</si>
  <si>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</si>
  <si>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</si>
  <si>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</si>
  <si>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</si>
  <si>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</si>
  <si>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</si>
  <si>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</si>
  <si>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</si>
  <si>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</si>
  <si>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</si>
  <si>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</si>
  <si>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</si>
  <si>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</si>
  <si>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</si>
  <si>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</si>
  <si>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</si>
  <si>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</si>
  <si>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</si>
  <si>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</si>
  <si>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</si>
  <si>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</si>
  <si>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</si>
  <si>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</si>
  <si>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</si>
  <si>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</si>
  <si>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</si>
  <si>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</si>
  <si>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</si>
  <si>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</si>
  <si>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</si>
  <si>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</si>
  <si>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</si>
  <si>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</si>
  <si>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</si>
  <si>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</si>
  <si>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</si>
  <si>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</si>
  <si>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</si>
  <si>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</si>
  <si>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</si>
  <si>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</si>
  <si>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</si>
  <si>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</si>
  <si>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</si>
  <si>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</si>
  <si>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</si>
  <si>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</si>
  <si>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</si>
  <si>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</si>
  <si>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</si>
  <si>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</si>
  <si>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</si>
  <si>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</si>
  <si>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</si>
  <si>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</si>
  <si>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</si>
  <si>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</si>
  <si>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</si>
  <si>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</si>
  <si>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</si>
  <si>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</si>
  <si>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</si>
  <si>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</si>
  <si>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</si>
  <si>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</si>
  <si>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</si>
  <si>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</si>
  <si>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</si>
  <si>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</si>
  <si>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</si>
  <si>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</si>
  <si>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</si>
  <si>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</si>
  <si>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</si>
  <si>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</si>
  <si>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</si>
  <si>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</si>
  <si>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</si>
  <si>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</si>
  <si>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</si>
  <si>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</si>
  <si>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</si>
  <si>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</si>
  <si>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</si>
  <si>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</si>
  <si>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</si>
  <si>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</si>
  <si>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</si>
  <si>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</si>
  <si>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</si>
  <si>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</si>
  <si>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</si>
  <si>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</si>
  <si>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</si>
  <si>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</si>
  <si>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</si>
  <si>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</si>
  <si>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</si>
  <si>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</si>
  <si>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</si>
  <si>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</si>
  <si>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</si>
  <si>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</si>
  <si>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</si>
  <si>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</si>
  <si>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</si>
  <si>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</si>
  <si>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</si>
  <si>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</si>
  <si>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</si>
  <si>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</si>
  <si>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</si>
  <si>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</si>
  <si>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</si>
  <si>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</si>
  <si>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</si>
  <si>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</si>
  <si>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</si>
  <si>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</si>
  <si>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</si>
  <si>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</si>
  <si>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</si>
  <si>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</si>
  <si>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</si>
  <si>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</si>
  <si>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</si>
  <si>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</si>
  <si>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</si>
  <si>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</si>
  <si>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</si>
  <si>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</si>
  <si>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</si>
  <si>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</si>
  <si>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</si>
  <si>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</si>
  <si>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</si>
  <si>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</si>
  <si>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</si>
  <si>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</si>
  <si>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</si>
  <si>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</si>
  <si>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</si>
  <si>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</si>
  <si>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</si>
  <si>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</si>
  <si>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</si>
  <si>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</si>
  <si>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</si>
  <si>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</si>
  <si>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</si>
  <si>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</si>
  <si>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</si>
  <si>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</si>
  <si>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</si>
  <si>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</si>
  <si>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</si>
  <si>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</si>
  <si>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</si>
  <si>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</si>
  <si>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</si>
  <si>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</si>
  <si>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</si>
  <si>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</si>
  <si>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</si>
  <si>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</si>
  <si>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</si>
  <si>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</si>
  <si>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</si>
  <si>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</si>
  <si>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</si>
  <si>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</si>
  <si>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</si>
  <si>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</si>
  <si>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</si>
  <si>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</si>
  <si>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</si>
  <si>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</si>
  <si>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</si>
  <si>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</si>
  <si>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</si>
  <si>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</si>
  <si>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</si>
  <si>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</si>
  <si>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</si>
  <si>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</si>
  <si>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</si>
  <si>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</si>
  <si>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</si>
  <si>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</si>
  <si>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</si>
  <si>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</si>
  <si>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</si>
  <si>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</si>
  <si>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</si>
  <si>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</si>
  <si>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</si>
  <si>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</si>
  <si>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</si>
  <si>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</si>
  <si>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</si>
  <si>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</si>
  <si>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</si>
  <si>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</si>
  <si>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</si>
  <si>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</si>
  <si>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</si>
  <si>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</si>
  <si>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</si>
  <si>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</si>
  <si>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</si>
  <si>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</si>
  <si>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</si>
  <si>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</si>
  <si>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</si>
  <si>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</si>
  <si>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</si>
  <si>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</si>
  <si>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</si>
  <si>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</si>
  <si>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</si>
  <si>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</si>
  <si>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</si>
  <si>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</si>
  <si>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</si>
  <si>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</si>
  <si>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</si>
  <si>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</si>
  <si>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</si>
  <si>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</si>
  <si>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</si>
  <si>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</si>
  <si>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</si>
  <si>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</si>
  <si>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</si>
  <si>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</si>
  <si>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</si>
  <si>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</si>
  <si>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</si>
  <si>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</si>
  <si>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</si>
  <si>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</si>
  <si>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</si>
  <si>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</si>
  <si>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</si>
  <si>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</si>
  <si>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</si>
  <si>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</si>
  <si>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</si>
  <si>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</si>
  <si>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</si>
  <si>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</si>
  <si>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</si>
  <si>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</si>
  <si>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</si>
  <si>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</si>
  <si>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</si>
  <si>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</si>
  <si>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</si>
  <si>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</si>
  <si>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</si>
  <si>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</si>
  <si>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</si>
  <si>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</si>
  <si>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</si>
  <si>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</si>
  <si>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</si>
  <si>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</si>
  <si>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</si>
  <si>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</si>
  <si>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</si>
  <si>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</si>
  <si>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</si>
  <si>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</si>
  <si>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</si>
  <si>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</si>
  <si>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</si>
  <si>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</si>
  <si>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</si>
  <si>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</si>
  <si>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</si>
  <si>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</si>
  <si>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</si>
  <si>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</si>
  <si>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</si>
  <si>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</si>
  <si>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</si>
  <si>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</si>
  <si>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</si>
  <si>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</si>
  <si>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</si>
  <si>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</si>
  <si>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</si>
  <si>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</si>
  <si>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</si>
  <si>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</si>
  <si>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</si>
  <si>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</si>
  <si>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</si>
  <si>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</si>
  <si>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</si>
  <si>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</si>
  <si>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</si>
  <si>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</si>
  <si>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</si>
  <si>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</si>
  <si>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</si>
  <si>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</si>
  <si>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</si>
  <si>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</si>
  <si>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</si>
  <si>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</si>
  <si>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</si>
  <si>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</si>
  <si>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</si>
  <si>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</si>
  <si>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</si>
  <si>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</si>
  <si>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</si>
  <si>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</si>
  <si>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</si>
  <si>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</si>
  <si>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</si>
  <si>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</si>
  <si>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</si>
  <si>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</si>
  <si>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</si>
  <si>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</si>
  <si>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</si>
  <si>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</si>
  <si>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</si>
  <si>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</si>
  <si>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</si>
  <si>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</si>
  <si>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</si>
  <si>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</si>
  <si>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</si>
  <si>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</si>
  <si>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</si>
  <si>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</si>
  <si>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</si>
  <si>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</si>
  <si>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</si>
  <si>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</si>
  <si>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</si>
  <si>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</si>
  <si>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</si>
  <si>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</si>
  <si>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</si>
  <si>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</si>
  <si>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</si>
  <si>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</si>
  <si>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</si>
  <si>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</si>
  <si>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</si>
  <si>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</si>
  <si>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</si>
  <si>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</si>
  <si>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</si>
  <si>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</si>
  <si>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</si>
  <si>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</si>
  <si>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</si>
  <si>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</si>
  <si>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</si>
  <si>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</si>
  <si>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</si>
  <si>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</si>
  <si>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</si>
  <si>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</si>
  <si>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</si>
  <si>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</si>
  <si>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</si>
  <si>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</si>
  <si>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</si>
  <si>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</si>
  <si>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</si>
  <si>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</si>
  <si>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</si>
  <si>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</si>
  <si>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</si>
  <si>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</si>
  <si>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</si>
  <si>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</si>
  <si>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</si>
  <si>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</si>
  <si>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</si>
  <si>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</si>
  <si>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</si>
  <si>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</si>
  <si>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</si>
  <si>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</si>
  <si>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</si>
  <si>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</si>
  <si>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</si>
  <si>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</si>
  <si>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</si>
  <si>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</si>
  <si>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</si>
  <si>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</si>
  <si>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</si>
  <si>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</si>
  <si>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</si>
  <si>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</si>
  <si>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</si>
  <si>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</si>
  <si>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</si>
  <si>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</si>
  <si>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</si>
  <si>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</si>
  <si>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</si>
  <si>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</si>
  <si>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</si>
  <si>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</si>
  <si>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</si>
  <si>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</si>
  <si>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</si>
  <si>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</si>
  <si>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</si>
  <si>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</si>
  <si>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</si>
  <si>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</si>
  <si>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</si>
  <si>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</si>
  <si>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</si>
  <si>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</si>
  <si>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</si>
  <si>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</si>
  <si>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</si>
  <si>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</si>
  <si>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</si>
  <si>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</si>
  <si>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</si>
  <si>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</si>
  <si>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</si>
  <si>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</si>
  <si>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</si>
  <si>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</si>
  <si>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</si>
  <si>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</si>
  <si>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</si>
  <si>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</si>
  <si>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</si>
  <si>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</si>
  <si>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</si>
  <si>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</si>
  <si>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</si>
  <si>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</si>
  <si>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</si>
  <si>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</si>
  <si>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</si>
  <si>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</si>
  <si>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</si>
  <si>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</si>
  <si>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</si>
  <si>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</si>
  <si>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</si>
  <si>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</si>
  <si>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</si>
  <si>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</si>
  <si>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</si>
  <si>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</si>
  <si>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</si>
  <si>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</si>
  <si>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</si>
  <si>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</si>
  <si>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</si>
  <si>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</si>
  <si>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</si>
  <si>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</si>
  <si>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</si>
  <si>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</si>
  <si>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</si>
  <si>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</si>
  <si>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</si>
  <si>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</si>
  <si>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</si>
  <si>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</si>
  <si>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</si>
  <si>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</si>
  <si>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</si>
  <si>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</si>
  <si>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</si>
  <si>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</si>
  <si>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</si>
  <si>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</si>
  <si>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</si>
  <si>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</si>
  <si>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</si>
  <si>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</si>
  <si>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</si>
  <si>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</si>
  <si>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</si>
  <si>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</si>
  <si>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</si>
  <si>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</si>
  <si>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</si>
  <si>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</si>
  <si>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</si>
  <si>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</si>
  <si>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</si>
  <si>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</si>
  <si>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</si>
  <si>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</si>
  <si>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</si>
  <si>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</si>
  <si>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</si>
  <si>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</si>
  <si>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</si>
  <si>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</si>
  <si>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</si>
  <si>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</si>
  <si>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</si>
  <si>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</si>
  <si>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</si>
  <si>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</si>
  <si>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</si>
  <si>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</si>
  <si>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</si>
  <si>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</si>
  <si>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</si>
  <si>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</si>
  <si>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</si>
  <si>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</si>
  <si>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</si>
  <si>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</si>
  <si>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</si>
  <si>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</si>
  <si>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</si>
  <si>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</si>
  <si>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</si>
  <si>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</si>
  <si>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</si>
  <si>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</si>
  <si>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</si>
  <si>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</si>
  <si>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</si>
  <si>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</si>
  <si>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</si>
  <si>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</si>
  <si>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</si>
  <si>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</si>
  <si>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</si>
  <si>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</si>
  <si>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</si>
  <si>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</si>
  <si>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</si>
  <si>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</si>
  <si>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</si>
  <si>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</si>
  <si>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</si>
  <si>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</si>
  <si>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</si>
  <si>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</si>
  <si>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</si>
  <si>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</si>
  <si>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</si>
  <si>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</si>
  <si>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</si>
  <si>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</si>
  <si>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</si>
  <si>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</si>
  <si>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</si>
  <si>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</si>
  <si>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</si>
  <si>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</si>
  <si>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</si>
  <si>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</si>
  <si>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</si>
  <si>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</si>
  <si>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</si>
  <si>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</si>
  <si>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</si>
  <si>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</si>
  <si>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</si>
  <si>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</si>
  <si>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</si>
  <si>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</si>
  <si>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</si>
  <si>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</si>
  <si>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</si>
  <si>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</si>
  <si>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</si>
  <si>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</si>
  <si>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</si>
  <si>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</si>
  <si>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</si>
  <si>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</si>
  <si>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</si>
  <si>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</si>
  <si>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</si>
  <si>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</si>
  <si>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</si>
  <si>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</si>
  <si>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</si>
  <si>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</si>
  <si>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</si>
  <si>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</si>
  <si>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</si>
  <si>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</si>
  <si>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</si>
  <si>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</si>
  <si>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</si>
  <si>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</si>
  <si>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</si>
  <si>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</si>
  <si>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</si>
  <si>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</si>
  <si>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</si>
  <si>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</si>
  <si>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</si>
  <si>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</si>
  <si>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</si>
  <si>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</si>
  <si>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</si>
  <si>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</si>
  <si>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</si>
  <si>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</si>
  <si>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</si>
  <si>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</si>
  <si>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</si>
  <si>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</si>
  <si>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</si>
  <si>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</si>
  <si>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</si>
  <si>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</si>
  <si>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</si>
  <si>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</si>
  <si>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</si>
  <si>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</si>
  <si>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</si>
  <si>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</si>
  <si>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</si>
  <si>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</si>
  <si>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</si>
  <si>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</si>
  <si>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</si>
  <si>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</si>
  <si>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</si>
  <si>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</si>
  <si>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</si>
  <si>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</si>
  <si>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</si>
  <si>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</si>
  <si>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</si>
  <si>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</si>
  <si>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</si>
  <si>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</si>
  <si>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</si>
  <si>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</si>
  <si>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</si>
  <si>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</si>
  <si>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</si>
  <si>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</si>
  <si>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</si>
  <si>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</si>
  <si>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</si>
  <si>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</si>
  <si>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</si>
  <si>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</si>
  <si>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</si>
  <si>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</si>
  <si>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</si>
  <si>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</si>
  <si>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</si>
  <si>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</si>
  <si>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</si>
  <si>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</si>
  <si>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</si>
  <si>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</si>
  <si>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</si>
  <si>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</si>
  <si>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</si>
  <si>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</si>
  <si>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</si>
  <si>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</si>
  <si>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</si>
  <si>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</si>
  <si>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</si>
  <si>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</si>
  <si>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</si>
  <si>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</si>
  <si>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</si>
  <si>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</si>
  <si>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</si>
  <si>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</si>
  <si>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</si>
  <si>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</si>
  <si>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</si>
  <si>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</si>
  <si>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</si>
  <si>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</si>
  <si>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</si>
  <si>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</si>
  <si>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</si>
  <si>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</si>
  <si>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</si>
  <si>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</si>
  <si>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</si>
  <si>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</si>
  <si>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</si>
  <si>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</si>
  <si>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</si>
  <si>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</si>
  <si>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</si>
  <si>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</si>
  <si>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</si>
  <si>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</si>
  <si>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</si>
  <si>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</si>
  <si>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</si>
  <si>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</si>
  <si>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</si>
  <si>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</si>
  <si>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</si>
  <si>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</si>
  <si>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</si>
  <si>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</si>
  <si>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</si>
  <si>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</si>
  <si>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</si>
  <si>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</si>
  <si>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</si>
  <si>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</si>
  <si>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</si>
  <si>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</si>
  <si>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</si>
  <si>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</si>
  <si>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</si>
  <si>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</si>
  <si>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</si>
  <si>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</si>
  <si>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</si>
  <si>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</si>
  <si>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</si>
  <si>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</si>
  <si>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</si>
  <si>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</si>
  <si>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</si>
  <si>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</si>
  <si>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</si>
  <si>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</si>
  <si>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</si>
  <si>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</si>
  <si>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</si>
  <si>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</si>
  <si>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</si>
  <si>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</si>
  <si>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</si>
  <si>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</si>
  <si>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</si>
  <si>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</si>
  <si>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</si>
  <si>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</si>
  <si>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</si>
  <si>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</si>
  <si>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</si>
  <si>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</si>
  <si>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</si>
  <si>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</si>
  <si>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</si>
  <si>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</si>
  <si>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</si>
  <si>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</si>
  <si>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</si>
  <si>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</si>
  <si>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</si>
  <si>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</si>
  <si>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</si>
  <si>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</si>
  <si>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</si>
  <si>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</si>
  <si>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</si>
  <si>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</si>
  <si>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</si>
  <si>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</si>
  <si>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</si>
  <si>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</si>
  <si>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</si>
  <si>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</si>
  <si>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</si>
  <si>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</si>
  <si>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</si>
  <si>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</si>
  <si>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</si>
  <si>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</si>
  <si>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</si>
  <si>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</si>
  <si>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</si>
  <si>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</si>
  <si>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</si>
  <si>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</si>
  <si>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</si>
  <si>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</si>
  <si>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</si>
  <si>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</si>
  <si>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</si>
  <si>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</si>
  <si>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</si>
  <si>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</si>
  <si>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</si>
  <si>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</si>
  <si>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</si>
  <si>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</si>
  <si>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</si>
  <si>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</si>
  <si>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</si>
  <si>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</si>
  <si>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</si>
  <si>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</si>
  <si>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</si>
  <si>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</si>
  <si>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</si>
  <si>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</si>
  <si>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</si>
  <si>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</si>
  <si>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</si>
  <si>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</si>
  <si>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</si>
  <si>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</si>
  <si>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</si>
  <si>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</si>
  <si>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</si>
  <si>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</si>
  <si>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</si>
  <si>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</si>
  <si>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</si>
  <si>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</si>
  <si>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</si>
  <si>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</si>
  <si>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</si>
  <si>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</si>
  <si>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</si>
  <si>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</si>
  <si>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</si>
  <si>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</si>
  <si>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</si>
  <si>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</si>
  <si>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</si>
  <si>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</si>
  <si>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</si>
  <si>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</si>
  <si>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</si>
  <si>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</si>
  <si>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</si>
  <si>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</si>
  <si>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</si>
  <si>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</si>
  <si>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</si>
  <si>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</si>
  <si>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</si>
  <si>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</si>
  <si>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</si>
  <si>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</si>
  <si>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</si>
  <si>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</si>
  <si>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</si>
  <si>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</si>
  <si>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</si>
  <si>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</si>
  <si>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</si>
  <si>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</si>
  <si>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</si>
  <si>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</si>
  <si>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</si>
  <si>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</si>
  <si>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</si>
  <si>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</si>
  <si>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</si>
  <si>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</si>
  <si>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</si>
  <si>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</si>
  <si>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</si>
  <si>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</si>
  <si>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</si>
  <si>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</si>
  <si>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</si>
  <si>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</si>
  <si>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</si>
  <si>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</si>
  <si>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</si>
  <si>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</si>
  <si>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</si>
  <si>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</si>
  <si>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</si>
  <si>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</si>
  <si>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</si>
  <si>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</si>
  <si>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</si>
  <si>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</si>
  <si>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</si>
  <si>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</si>
  <si>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</si>
  <si>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</si>
  <si>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</si>
  <si>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</si>
  <si>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</si>
  <si>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</si>
  <si>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</si>
  <si>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</si>
  <si>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</si>
  <si>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</si>
  <si>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</si>
  <si>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</si>
  <si>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</si>
  <si>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</si>
  <si>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</si>
  <si>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</si>
  <si>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</si>
  <si>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</si>
  <si>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</si>
  <si>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</si>
  <si>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</si>
  <si>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</si>
  <si>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</si>
  <si>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</si>
  <si>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</si>
  <si>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</si>
  <si>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</si>
  <si>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</si>
  <si>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</si>
  <si>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</si>
  <si>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</si>
  <si>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</si>
  <si>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</si>
  <si>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</si>
  <si>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</si>
  <si>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</si>
  <si>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</si>
  <si>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</si>
  <si>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</si>
  <si>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</si>
  <si>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</si>
  <si>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</si>
  <si>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</si>
  <si>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</si>
  <si>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</si>
  <si>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</si>
  <si>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</si>
  <si>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</si>
  <si>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</si>
  <si>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</si>
  <si>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</si>
  <si>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</si>
  <si>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</si>
  <si>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</si>
  <si>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</si>
  <si>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</si>
  <si>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</si>
  <si>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</si>
  <si>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</si>
  <si>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</si>
  <si>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</si>
  <si>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</si>
  <si>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</si>
  <si>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</si>
  <si>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</si>
  <si>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</si>
  <si>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</si>
  <si>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</si>
  <si>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</si>
  <si>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</si>
  <si>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</si>
  <si>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</si>
  <si>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</si>
  <si>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</si>
  <si>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</si>
  <si>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</si>
  <si>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</si>
  <si>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</si>
  <si>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</si>
  <si>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</si>
  <si>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</si>
  <si>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</si>
  <si>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</si>
  <si>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</si>
  <si>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</si>
  <si>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</si>
  <si>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</si>
  <si>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</si>
  <si>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</si>
  <si>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</si>
  <si>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</si>
  <si>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</si>
  <si>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</si>
  <si>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</si>
  <si>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</si>
  <si>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</si>
  <si>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</si>
  <si>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</si>
  <si>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</si>
  <si>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</si>
  <si>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</si>
  <si>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</si>
  <si>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</si>
  <si>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</si>
  <si>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</si>
  <si>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</si>
  <si>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</si>
  <si>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</si>
  <si>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</si>
  <si>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</si>
  <si>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</si>
  <si>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</si>
  <si>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</si>
  <si>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</si>
  <si>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</si>
  <si>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</si>
  <si>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</si>
  <si>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</si>
  <si>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</si>
  <si>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</si>
  <si>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</si>
  <si>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</si>
  <si>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</si>
  <si>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</si>
  <si>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</si>
  <si>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</si>
  <si>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</si>
  <si>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</si>
  <si>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</si>
  <si>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</si>
  <si>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</si>
  <si>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</si>
  <si>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</si>
  <si>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</si>
  <si>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</si>
  <si>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</si>
  <si>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</si>
  <si>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</si>
  <si>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</si>
  <si>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</si>
  <si>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</si>
  <si>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</si>
  <si>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</si>
  <si>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</si>
  <si>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</si>
  <si>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</si>
  <si>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</si>
  <si>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</si>
  <si>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</si>
  <si>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</si>
  <si>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</si>
  <si>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</si>
  <si>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</si>
  <si>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</si>
  <si>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</si>
  <si>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</si>
  <si>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</si>
  <si>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</si>
  <si>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</si>
  <si>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</si>
  <si>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</si>
  <si>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</si>
  <si>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</si>
  <si>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</si>
  <si>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</si>
  <si>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</si>
  <si>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</si>
  <si>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</si>
  <si>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</si>
  <si>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</si>
  <si>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</si>
  <si>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</si>
  <si>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</si>
  <si>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</si>
  <si>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</si>
  <si>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</si>
  <si>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</si>
  <si>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</si>
  <si>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</si>
  <si>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</si>
  <si>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</si>
  <si>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</si>
  <si>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</si>
  <si>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</si>
  <si>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</si>
  <si>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</si>
  <si>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</si>
  <si>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</si>
  <si>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</si>
  <si>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</si>
  <si>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</si>
  <si>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</si>
  <si>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</si>
  <si>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</si>
  <si>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</si>
  <si>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</si>
  <si>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</si>
  <si>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</si>
  <si>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</si>
  <si>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</si>
  <si>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</si>
  <si>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</si>
  <si>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</si>
  <si>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</si>
  <si>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</si>
  <si>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</si>
  <si>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</si>
  <si>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</si>
  <si>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</si>
  <si>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</si>
  <si>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</si>
  <si>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</si>
  <si>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</si>
  <si>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</si>
  <si>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</si>
  <si>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</si>
  <si>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</si>
  <si>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</si>
  <si>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</si>
  <si>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</si>
  <si>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</si>
  <si>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</si>
  <si>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</si>
  <si>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</si>
  <si>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</si>
  <si>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</si>
  <si>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</si>
  <si>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</si>
  <si>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</si>
  <si>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</si>
  <si>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</si>
  <si>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</si>
  <si>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</si>
  <si>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</si>
  <si>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</si>
  <si>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</si>
  <si>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</si>
  <si>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</si>
  <si>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</si>
  <si>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</si>
  <si>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</si>
  <si>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</si>
  <si>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</si>
  <si>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</si>
  <si>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</si>
  <si>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</si>
  <si>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</si>
  <si>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</si>
  <si>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</si>
  <si>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</si>
  <si>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</si>
  <si>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</si>
  <si>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</si>
  <si>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</si>
  <si>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</si>
  <si>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</si>
  <si>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</si>
  <si>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</si>
  <si>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</si>
  <si>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</si>
  <si>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</si>
  <si>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</si>
  <si>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</si>
  <si>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</si>
  <si>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</si>
  <si>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</si>
  <si>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</si>
  <si>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</si>
  <si>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</si>
  <si>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</si>
  <si>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</si>
  <si>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</si>
  <si>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</si>
  <si>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</si>
  <si>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</si>
  <si>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</si>
  <si>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</si>
  <si>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</si>
  <si>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</si>
  <si>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</si>
  <si>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</si>
  <si>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</si>
  <si>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</si>
  <si>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</si>
  <si>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</si>
  <si>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</si>
  <si>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</si>
  <si>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</si>
  <si>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</si>
  <si>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</si>
  <si>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</si>
  <si>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</si>
  <si>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</si>
  <si>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</si>
  <si>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</si>
  <si>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</si>
  <si>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</si>
  <si>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</si>
  <si>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</si>
  <si>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</si>
  <si>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</si>
  <si>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</si>
  <si>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</si>
  <si>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</si>
  <si>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</si>
  <si>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</si>
  <si>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</si>
  <si>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</si>
  <si>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</si>
  <si>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</si>
  <si>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</si>
  <si>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</si>
  <si>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</si>
  <si>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</si>
  <si>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</si>
  <si>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</si>
  <si>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</si>
  <si>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</si>
  <si>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</si>
  <si>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</si>
  <si>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</si>
  <si>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</si>
  <si>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</si>
  <si>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</si>
  <si>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</si>
  <si>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</si>
  <si>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</si>
  <si>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</si>
  <si>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</si>
  <si>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</si>
  <si>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</si>
  <si>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</si>
  <si>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</si>
  <si>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</si>
  <si>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</si>
  <si>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</si>
  <si>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</si>
  <si>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</si>
  <si>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</si>
  <si>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</si>
  <si>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</si>
  <si>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</si>
  <si>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</si>
  <si>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</si>
  <si>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</si>
  <si>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</si>
  <si>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</si>
  <si>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</si>
  <si>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</si>
  <si>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</si>
  <si>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</si>
  <si>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</si>
  <si>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</si>
  <si>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</si>
  <si>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</si>
  <si>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</si>
  <si>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</si>
  <si>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</si>
  <si>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</si>
  <si>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</si>
  <si>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</si>
  <si>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</si>
  <si>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</si>
  <si>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</si>
  <si>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</si>
  <si>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</si>
  <si>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</si>
  <si>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</si>
  <si>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</si>
  <si>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</si>
  <si>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</si>
  <si>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</si>
  <si>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</si>
  <si>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</si>
  <si>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</si>
  <si>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</si>
  <si>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</si>
  <si>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</si>
  <si>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</si>
  <si>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</si>
  <si>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</si>
  <si>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</si>
  <si>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</si>
  <si>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</si>
  <si>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</si>
  <si>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</si>
  <si>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</si>
  <si>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</si>
  <si>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</si>
  <si>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</si>
  <si>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</si>
  <si>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</si>
  <si>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</si>
  <si>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</si>
  <si>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</si>
  <si>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</si>
  <si>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</si>
  <si>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</si>
  <si>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</si>
  <si>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</si>
  <si>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</si>
  <si>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</si>
  <si>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</si>
  <si>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</si>
  <si>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</si>
  <si>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</si>
  <si>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</si>
  <si>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</si>
  <si>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</si>
  <si>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</si>
  <si>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</si>
  <si>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</si>
  <si>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</si>
  <si>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</si>
  <si>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</si>
  <si>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</si>
  <si>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</si>
  <si>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</si>
  <si>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</si>
  <si>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</si>
  <si>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</si>
  <si>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</si>
  <si>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</si>
  <si>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</si>
  <si>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</si>
  <si>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</si>
  <si>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</si>
  <si>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</si>
  <si>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</si>
  <si>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</si>
  <si>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</si>
  <si>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</si>
  <si>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</si>
  <si>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</si>
  <si>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</si>
  <si>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</si>
  <si>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</si>
  <si>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</si>
  <si>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</si>
  <si>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</si>
  <si>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</si>
  <si>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</si>
  <si>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</si>
  <si>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</si>
  <si>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</si>
  <si>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</si>
  <si>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</si>
  <si>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</si>
  <si>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</si>
  <si>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</si>
  <si>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</si>
  <si>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</si>
  <si>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</si>
  <si>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</si>
  <si>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</si>
  <si>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</si>
  <si>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</si>
  <si>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</si>
  <si>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</si>
  <si>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</si>
  <si>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</si>
  <si>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</si>
  <si>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</si>
  <si>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</si>
  <si>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</si>
  <si>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</si>
  <si>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</si>
  <si>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</si>
  <si>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</si>
  <si>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</si>
  <si>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</si>
  <si>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</si>
  <si>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</si>
  <si>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</si>
  <si>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</si>
  <si>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</si>
  <si>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</si>
  <si>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</si>
  <si>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</si>
  <si>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</si>
  <si>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</si>
  <si>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</si>
  <si>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</si>
  <si>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</si>
  <si>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</si>
  <si>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</si>
  <si>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</si>
  <si>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</si>
  <si>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</si>
  <si>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</si>
  <si>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</si>
  <si>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</si>
  <si>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</si>
  <si>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</si>
  <si>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</si>
  <si>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</si>
  <si>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</si>
  <si>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</si>
  <si>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</si>
  <si>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</si>
  <si>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</si>
  <si>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</si>
  <si>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</si>
  <si>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</si>
  <si>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</si>
  <si>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</si>
  <si>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</si>
  <si>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</si>
  <si>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</si>
  <si>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</si>
  <si>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</si>
  <si>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</si>
  <si>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</si>
  <si>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</si>
  <si>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</si>
  <si>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</si>
  <si>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</si>
  <si>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</si>
  <si>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</si>
  <si>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</si>
  <si>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</si>
  <si>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</si>
  <si>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</si>
  <si>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</si>
  <si>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</si>
  <si>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</si>
  <si>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</si>
  <si>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</si>
  <si>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</si>
  <si>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</si>
  <si>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</si>
  <si>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</si>
  <si>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</si>
  <si>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</si>
  <si>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</si>
  <si>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</si>
  <si>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</si>
  <si>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</si>
  <si>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</si>
  <si>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</si>
  <si>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</si>
  <si>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</si>
  <si>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</si>
  <si>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</si>
  <si>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</si>
  <si>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</si>
  <si>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</si>
  <si>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</si>
  <si>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</si>
  <si>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</si>
  <si>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</si>
  <si>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</si>
  <si>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</si>
  <si>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</si>
  <si>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</si>
  <si>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</si>
  <si>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</si>
  <si>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</si>
  <si>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</si>
  <si>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</si>
  <si>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</si>
  <si>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</si>
  <si>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</si>
  <si>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</si>
  <si>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</si>
  <si>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</si>
  <si>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</si>
  <si>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</si>
  <si>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</si>
  <si>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</si>
  <si>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</si>
  <si>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</si>
  <si>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</si>
  <si>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</si>
  <si>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</si>
  <si>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</si>
  <si>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</si>
  <si>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</si>
  <si>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</si>
  <si>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</si>
  <si>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</si>
  <si>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</si>
  <si>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</si>
  <si>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</si>
  <si>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</si>
  <si>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</si>
  <si>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</si>
  <si>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</si>
  <si>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</si>
  <si>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</si>
  <si>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</si>
  <si>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</si>
  <si>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</si>
  <si>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</si>
  <si>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</si>
  <si>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</si>
  <si>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</si>
  <si>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</si>
  <si>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</si>
  <si>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</si>
  <si>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</si>
  <si>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</si>
  <si>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</si>
  <si>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</si>
  <si>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</si>
  <si>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</si>
  <si>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</si>
  <si>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</si>
  <si>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</si>
  <si>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</si>
  <si>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</si>
  <si>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</si>
  <si>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</si>
  <si>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</si>
  <si>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</si>
  <si>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</si>
  <si>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</si>
  <si>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</si>
  <si>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</si>
  <si>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</si>
  <si>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</si>
  <si>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</si>
  <si>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</si>
  <si>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</si>
  <si>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</si>
  <si>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</si>
  <si>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</si>
  <si>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</si>
  <si>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</si>
  <si>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</si>
  <si>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</si>
  <si>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</si>
  <si>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</si>
  <si>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</si>
  <si>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</si>
  <si>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</si>
  <si>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</si>
  <si>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</si>
  <si>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</si>
  <si>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</si>
  <si>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</si>
  <si>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</si>
  <si>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</si>
  <si>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</si>
  <si>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</si>
  <si>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</si>
  <si>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</si>
  <si>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</si>
  <si>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</si>
  <si>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</si>
  <si>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</si>
  <si>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</si>
  <si>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</si>
  <si>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</si>
  <si>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</si>
  <si>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</si>
  <si>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</si>
  <si>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</si>
  <si>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</si>
  <si>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</si>
  <si>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</si>
  <si>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</si>
  <si>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</si>
  <si>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</si>
  <si>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</si>
  <si>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</si>
  <si>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</si>
  <si>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</si>
  <si>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</si>
  <si>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</si>
  <si>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</si>
  <si>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</si>
  <si>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</si>
  <si>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</si>
  <si>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</si>
  <si>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</si>
  <si>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</si>
  <si>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</si>
  <si>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</si>
  <si>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</si>
  <si>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</si>
  <si>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</si>
  <si>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</si>
  <si>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</si>
  <si>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</si>
  <si>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</si>
  <si>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</si>
  <si>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</si>
  <si>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</si>
  <si>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</si>
  <si>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</si>
  <si>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</si>
  <si>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</si>
  <si>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</si>
  <si>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</si>
  <si>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</si>
  <si>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</si>
  <si>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</si>
  <si>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</si>
  <si>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</si>
  <si>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</si>
  <si>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</si>
  <si>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</si>
  <si>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</si>
  <si>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</si>
  <si>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</si>
  <si>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</si>
  <si>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</si>
  <si>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</si>
  <si>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</si>
  <si>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</si>
  <si>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</si>
  <si>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</si>
  <si>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</si>
  <si>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</si>
  <si>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</si>
  <si>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</si>
  <si>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</si>
  <si>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</si>
  <si>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</si>
  <si>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</si>
  <si>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</si>
  <si>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</si>
  <si>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</si>
  <si>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</si>
  <si>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</si>
  <si>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</si>
  <si>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</si>
  <si>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</si>
  <si>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</si>
  <si>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</si>
  <si>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</si>
  <si>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</si>
  <si>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</si>
  <si>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</si>
  <si>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</si>
  <si>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</si>
  <si>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</si>
  <si>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</si>
  <si>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</si>
  <si>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</si>
  <si>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</si>
  <si>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</si>
  <si>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</si>
  <si>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</si>
  <si>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</si>
  <si>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</si>
  <si>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</si>
  <si>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</si>
  <si>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</si>
  <si>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</si>
  <si>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</si>
  <si>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</si>
  <si>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</si>
  <si>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</si>
  <si>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</si>
  <si>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</si>
  <si>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</si>
  <si>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</si>
  <si>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</si>
  <si>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</si>
  <si>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</si>
  <si>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</si>
  <si>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</si>
  <si>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</si>
  <si>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</si>
  <si>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</si>
  <si>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</si>
  <si>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</si>
  <si>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</si>
  <si>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</si>
  <si>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</si>
  <si>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</si>
  <si>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</si>
  <si>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</si>
  <si>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</si>
  <si>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</si>
  <si>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</si>
  <si>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</si>
  <si>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</si>
  <si>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</si>
  <si>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</si>
  <si>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</si>
  <si>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</si>
  <si>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</si>
  <si>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</si>
  <si>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</si>
  <si>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</si>
  <si>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</si>
  <si>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</si>
  <si>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</si>
  <si>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</si>
  <si>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</si>
  <si>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</si>
  <si>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</si>
  <si>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</si>
  <si>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</si>
  <si>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</si>
  <si>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</si>
  <si>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</si>
  <si>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</si>
  <si>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</si>
  <si>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</si>
  <si>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</si>
  <si>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</si>
  <si>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</si>
  <si>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</si>
  <si>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</si>
  <si>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</si>
  <si>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</si>
  <si>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</si>
  <si>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</si>
  <si>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</si>
  <si>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</si>
  <si>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</si>
  <si>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</si>
  <si>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</si>
  <si>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</si>
  <si>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</si>
  <si>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</si>
  <si>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</si>
  <si>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</si>
  <si>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</si>
  <si>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</si>
  <si>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</si>
  <si>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</si>
  <si>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</si>
  <si>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</si>
  <si>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</si>
  <si>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</si>
  <si>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</si>
  <si>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</si>
  <si>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</si>
  <si>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</si>
  <si>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</si>
  <si>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</si>
  <si>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</si>
  <si>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</si>
  <si>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</si>
  <si>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</si>
  <si>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</si>
  <si>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</si>
  <si>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</si>
  <si>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</si>
  <si>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</si>
  <si>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</si>
  <si>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</si>
  <si>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</si>
  <si>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</si>
  <si>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</si>
  <si>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</si>
  <si>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</si>
  <si>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</si>
  <si>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</si>
  <si>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</si>
  <si>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</si>
  <si>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</si>
  <si>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</si>
  <si>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</si>
  <si>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</si>
  <si>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</si>
  <si>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</si>
  <si>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</si>
  <si>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</si>
  <si>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</si>
  <si>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</si>
  <si>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</si>
  <si>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</si>
  <si>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</si>
  <si>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</si>
  <si>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</si>
  <si>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</si>
  <si>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</si>
  <si>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</si>
  <si>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</si>
  <si>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</si>
  <si>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</si>
  <si>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</si>
  <si>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</si>
  <si>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</si>
  <si>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</si>
  <si>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</si>
  <si>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</si>
  <si>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</si>
  <si>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</si>
  <si>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</si>
  <si>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</si>
  <si>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</si>
  <si>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</si>
  <si>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</si>
  <si>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</si>
  <si>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</si>
  <si>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</si>
  <si>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</si>
  <si>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</si>
  <si>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</si>
  <si>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</si>
  <si>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</si>
  <si>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</si>
  <si>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</si>
  <si>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</si>
  <si>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</si>
  <si>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</si>
  <si>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</si>
  <si>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</si>
  <si>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</si>
  <si>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</si>
  <si>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</si>
  <si>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</si>
  <si>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</si>
  <si>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</si>
  <si>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</si>
  <si>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</si>
  <si>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</si>
  <si>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</si>
  <si>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</si>
  <si>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</si>
  <si>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</si>
  <si>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</si>
  <si>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</si>
  <si>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</si>
  <si>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</si>
  <si>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</si>
  <si>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</si>
  <si>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</si>
  <si>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</si>
  <si>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</si>
  <si>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</si>
  <si>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</si>
  <si>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</si>
  <si>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</si>
  <si>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</si>
  <si>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</si>
  <si>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</si>
  <si>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</si>
  <si>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</si>
  <si>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</si>
  <si>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</si>
  <si>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</si>
  <si>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</si>
  <si>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</si>
  <si>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</si>
  <si>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</si>
  <si>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</si>
  <si>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</si>
  <si>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</si>
  <si>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</si>
  <si>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</si>
  <si>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</si>
  <si>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</si>
  <si>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</si>
  <si>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</si>
  <si>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</si>
  <si>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</si>
  <si>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</si>
  <si>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</si>
  <si>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</si>
  <si>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</si>
  <si>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</si>
  <si>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</si>
  <si>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</si>
  <si>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</si>
  <si>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</si>
  <si>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</si>
  <si>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</si>
  <si>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</si>
  <si>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</si>
  <si>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</si>
  <si>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</si>
  <si>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</si>
  <si>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</si>
  <si>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</si>
  <si>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</si>
  <si>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</si>
  <si>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</si>
  <si>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</si>
  <si>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</si>
  <si>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</si>
  <si>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</si>
  <si>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</si>
  <si>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</si>
  <si>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</si>
  <si>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</si>
  <si>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</si>
  <si>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</si>
  <si>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</si>
  <si>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</si>
  <si>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</si>
  <si>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</si>
  <si>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</si>
  <si>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</si>
  <si>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</si>
  <si>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</si>
  <si>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</si>
  <si>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</si>
  <si>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</si>
  <si>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</si>
  <si>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</si>
  <si>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</si>
  <si>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</si>
  <si>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</si>
  <si>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</si>
  <si>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</si>
  <si>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</si>
  <si>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</si>
  <si>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</si>
  <si>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</si>
  <si>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</si>
  <si>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</si>
  <si>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</si>
  <si>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</si>
  <si>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</si>
  <si>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</si>
  <si>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</si>
  <si>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</si>
  <si>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</si>
  <si>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</si>
  <si>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</si>
  <si>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</si>
  <si>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</si>
  <si>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</si>
  <si>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</si>
  <si>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</si>
  <si>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</si>
  <si>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</si>
  <si>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</si>
  <si>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</si>
  <si>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</si>
  <si>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</si>
  <si>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</si>
  <si>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</si>
  <si>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</si>
  <si>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</si>
  <si>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</si>
  <si>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</si>
  <si>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</si>
  <si>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</si>
  <si>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</si>
  <si>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</si>
  <si>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</si>
  <si>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</si>
  <si>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</si>
  <si>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</si>
  <si>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</si>
  <si>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</si>
  <si>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</si>
  <si>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</si>
  <si>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</si>
  <si>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</si>
  <si>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</si>
  <si>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</si>
  <si>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</si>
  <si>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</si>
  <si>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</si>
  <si>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</si>
  <si>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</si>
  <si>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</si>
  <si>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</si>
  <si>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</si>
  <si>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</si>
  <si>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</si>
  <si>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</si>
  <si>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</si>
  <si>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</si>
  <si>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</si>
  <si>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</si>
  <si>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</si>
  <si>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</si>
  <si>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</si>
  <si>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</si>
  <si>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</si>
  <si>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</si>
  <si>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</si>
  <si>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</si>
  <si>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</si>
  <si>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</si>
  <si>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</si>
  <si>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</si>
  <si>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</si>
  <si>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</si>
  <si>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</si>
  <si>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</si>
  <si>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</si>
  <si>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</si>
  <si>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</si>
  <si>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</si>
  <si>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</si>
  <si>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</si>
  <si>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</si>
  <si>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</si>
  <si>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</si>
  <si>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</si>
  <si>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</si>
  <si>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</si>
  <si>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</si>
  <si>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</si>
  <si>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</si>
  <si>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</si>
  <si>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</si>
  <si>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</si>
  <si>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</si>
  <si>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</si>
  <si>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</si>
  <si>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</si>
  <si>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</si>
  <si>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</si>
  <si>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</si>
  <si>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</si>
  <si>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</si>
  <si>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</si>
  <si>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</si>
  <si>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</si>
  <si>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</si>
  <si>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</si>
  <si>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</si>
  <si>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</si>
  <si>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</si>
  <si>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</si>
  <si>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</si>
  <si>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</si>
  <si>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</si>
  <si>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</si>
  <si>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</si>
  <si>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</si>
  <si>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</si>
  <si>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</si>
  <si>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</si>
  <si>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</si>
  <si>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</si>
  <si>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</si>
  <si>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</si>
  <si>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</si>
  <si>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</si>
  <si>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</si>
  <si>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</si>
  <si>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</si>
  <si>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</si>
  <si>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</si>
  <si>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</si>
  <si>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</si>
  <si>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</si>
  <si>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</si>
  <si>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</si>
  <si>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</si>
  <si>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</si>
  <si>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</si>
  <si>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</si>
  <si>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</si>
  <si>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</si>
  <si>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</si>
  <si>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</si>
  <si>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</si>
  <si>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</si>
  <si>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</si>
  <si>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</si>
  <si>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</si>
  <si>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</si>
  <si>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</si>
  <si>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</si>
  <si>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</si>
  <si>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</si>
  <si>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</si>
  <si>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</si>
  <si>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</si>
  <si>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</si>
  <si>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</si>
  <si>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</si>
  <si>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</si>
  <si>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</si>
  <si>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</si>
  <si>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</si>
  <si>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</si>
  <si>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</si>
  <si>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</si>
  <si>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</si>
  <si>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</si>
  <si>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</si>
  <si>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</si>
  <si>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</si>
  <si>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</si>
  <si>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</si>
  <si>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</si>
  <si>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</si>
  <si>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</si>
  <si>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</si>
  <si>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</si>
  <si>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</si>
  <si>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</si>
  <si>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</si>
  <si>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</si>
  <si>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</si>
  <si>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</si>
  <si>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</si>
  <si>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</si>
  <si>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</si>
  <si>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</si>
  <si>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</si>
  <si>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</si>
  <si>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</si>
  <si>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</si>
  <si>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</si>
  <si>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</si>
  <si>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</si>
  <si>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</si>
  <si>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</si>
  <si>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</si>
  <si>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</si>
  <si>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</si>
  <si>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</si>
  <si>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</si>
  <si>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</si>
  <si>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</si>
  <si>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</si>
  <si>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</si>
  <si>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</si>
  <si>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</si>
  <si>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</si>
  <si>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</si>
  <si>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</si>
  <si>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</si>
  <si>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</si>
  <si>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</si>
  <si>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</si>
  <si>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</si>
  <si>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</si>
  <si>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</si>
  <si>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</si>
  <si>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</si>
  <si>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</si>
  <si>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</si>
  <si>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</si>
  <si>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</si>
  <si>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</si>
  <si>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</si>
  <si>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</si>
  <si>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</si>
  <si>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</si>
  <si>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</si>
  <si>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</si>
  <si>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</si>
  <si>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</si>
  <si>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</si>
  <si>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</si>
  <si>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</si>
  <si>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</si>
  <si>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</si>
  <si>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</si>
  <si>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</si>
  <si>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</si>
  <si>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</si>
  <si>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</si>
  <si>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</si>
  <si>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</si>
  <si>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</si>
  <si>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</si>
  <si>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</si>
  <si>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</si>
  <si>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</si>
  <si>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</si>
  <si>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</si>
  <si>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</si>
  <si>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</si>
  <si>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</si>
  <si>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</si>
  <si>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</si>
  <si>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</si>
  <si>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</si>
  <si>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</si>
  <si>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</si>
  <si>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</si>
  <si>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</si>
  <si>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</si>
  <si>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</si>
  <si>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</si>
  <si>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</si>
  <si>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</si>
  <si>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</si>
  <si>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</si>
  <si>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</si>
  <si>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</si>
  <si>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</si>
  <si>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</si>
  <si>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</si>
  <si>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</si>
  <si>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</si>
  <si>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</si>
  <si>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</si>
  <si>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</si>
  <si>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</si>
  <si>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</si>
  <si>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</si>
  <si>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</si>
  <si>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</si>
  <si>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</si>
  <si>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</si>
  <si>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</si>
  <si>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</si>
  <si>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</si>
  <si>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</si>
  <si>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</si>
  <si>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</si>
  <si>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</si>
  <si>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</si>
  <si>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</si>
  <si>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</si>
  <si>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</si>
  <si>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</si>
  <si>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</si>
  <si>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</si>
  <si>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</si>
  <si>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</si>
  <si>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</si>
  <si>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</si>
  <si>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</si>
  <si>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</si>
  <si>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</si>
  <si>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</si>
  <si>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</si>
  <si>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</si>
  <si>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</si>
  <si>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</si>
  <si>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</si>
  <si>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</si>
  <si>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</si>
  <si>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</si>
  <si>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</si>
  <si>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</si>
  <si>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</si>
  <si>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</si>
  <si>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</si>
  <si>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</si>
  <si>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</si>
  <si>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</si>
  <si>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</si>
  <si>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</si>
  <si>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</si>
  <si>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</si>
  <si>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</si>
  <si>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</si>
  <si>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</si>
  <si>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</si>
  <si>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</si>
  <si>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</si>
  <si>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</si>
  <si>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</si>
  <si>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</si>
  <si>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</si>
  <si>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</si>
  <si>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</si>
  <si>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</si>
  <si>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</si>
  <si>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</si>
  <si>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</si>
  <si>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</si>
  <si>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</si>
  <si>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</si>
  <si>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</si>
  <si>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</si>
  <si>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</si>
  <si>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</si>
  <si>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</si>
  <si>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</si>
  <si>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</si>
  <si>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</si>
  <si>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</si>
  <si>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</si>
  <si>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</si>
  <si>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</si>
  <si>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</si>
  <si>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</si>
  <si>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</si>
  <si>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</si>
  <si>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</si>
  <si>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</si>
  <si>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</si>
  <si>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</si>
  <si>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</si>
  <si>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</si>
  <si>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</si>
  <si>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</si>
  <si>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</si>
  <si>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</si>
  <si>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</si>
  <si>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</si>
  <si>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</si>
  <si>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</si>
  <si>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</si>
  <si>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</si>
  <si>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</si>
  <si>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</si>
  <si>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</si>
  <si>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</si>
  <si>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</si>
  <si>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</si>
  <si>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</si>
  <si>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</si>
  <si>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</si>
  <si>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</si>
  <si>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</si>
  <si>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</si>
  <si>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</si>
  <si>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</si>
  <si>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</si>
  <si>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</si>
  <si>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</si>
  <si>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</si>
  <si>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</si>
  <si>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</si>
  <si>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</si>
  <si>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</si>
  <si>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</si>
  <si>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</si>
  <si>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</si>
  <si>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</si>
  <si>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</si>
  <si>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</si>
  <si>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</si>
  <si>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</si>
  <si>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</si>
  <si>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</si>
  <si>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</si>
  <si>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</si>
  <si>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</si>
  <si>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</si>
  <si>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</si>
  <si>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</si>
  <si>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</si>
  <si>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</si>
  <si>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</si>
  <si>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</si>
  <si>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</si>
  <si>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</si>
  <si>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</si>
  <si>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</si>
  <si>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</si>
  <si>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</si>
  <si>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</si>
  <si>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</si>
  <si>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</si>
  <si>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</si>
  <si>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</si>
  <si>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</si>
  <si>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</si>
  <si>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</si>
  <si>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</si>
  <si>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</si>
  <si>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</si>
  <si>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</si>
  <si>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</si>
  <si>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</si>
  <si>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</si>
  <si>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</si>
  <si>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</si>
  <si>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</si>
  <si>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</si>
  <si>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</si>
  <si>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</si>
  <si>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</si>
  <si>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</si>
  <si>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</si>
  <si>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</si>
  <si>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</si>
  <si>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</si>
  <si>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</si>
  <si>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</si>
  <si>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</si>
  <si>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</si>
  <si>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</si>
  <si>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</si>
  <si>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</si>
  <si>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</si>
  <si>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</si>
  <si>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</si>
  <si>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</si>
  <si>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</si>
  <si>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</si>
  <si>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</si>
  <si>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</si>
  <si>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</si>
  <si>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</si>
  <si>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</si>
  <si>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</si>
  <si>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</si>
  <si>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</si>
  <si>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</si>
  <si>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</si>
  <si>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</si>
  <si>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</si>
  <si>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</si>
  <si>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</si>
  <si>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</si>
  <si>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</si>
  <si>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</si>
  <si>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</si>
  <si>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</si>
  <si>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</si>
  <si>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</si>
  <si>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</si>
  <si>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</si>
  <si>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</si>
  <si>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</si>
  <si>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</si>
  <si>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</si>
  <si>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</si>
  <si>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</si>
  <si>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</si>
  <si>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</si>
  <si>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</si>
  <si>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</si>
  <si>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</si>
  <si>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</si>
  <si>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</si>
  <si>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</si>
  <si>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</si>
  <si>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</si>
  <si>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</si>
  <si>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</si>
  <si>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</si>
  <si>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</si>
  <si>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</si>
  <si>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</si>
  <si>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</si>
  <si>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</si>
  <si>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</si>
  <si>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</si>
  <si>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</si>
  <si>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</si>
  <si>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</si>
  <si>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</si>
  <si>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</si>
  <si>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</si>
  <si>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</si>
  <si>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</si>
  <si>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</si>
  <si>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</si>
  <si>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</si>
  <si>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</si>
  <si>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</si>
  <si>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</si>
  <si>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</si>
  <si>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</si>
  <si>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</si>
  <si>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</si>
  <si>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</si>
  <si>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</si>
  <si>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</si>
  <si>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</si>
  <si>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</si>
  <si>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</si>
  <si>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</si>
  <si>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</si>
  <si>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</si>
  <si>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</si>
  <si>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</si>
  <si>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</si>
  <si>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</si>
  <si>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</si>
  <si>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</si>
  <si>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</si>
  <si>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</si>
  <si>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</si>
  <si>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</si>
  <si>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</si>
  <si>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</si>
  <si>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</si>
  <si>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</si>
  <si>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</si>
  <si>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</si>
  <si>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</si>
  <si>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</si>
  <si>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</si>
  <si>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</si>
  <si>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</si>
  <si>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</si>
  <si>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</si>
  <si>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</si>
  <si>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</si>
  <si>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</si>
  <si>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</si>
  <si>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</si>
  <si>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</si>
  <si>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</si>
  <si>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</si>
  <si>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</si>
  <si>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</si>
  <si>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</si>
  <si>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</si>
  <si>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</si>
  <si>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</si>
  <si>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</si>
  <si>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</si>
  <si>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</si>
  <si>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</si>
  <si>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</si>
  <si>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</si>
  <si>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</si>
  <si>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</si>
  <si>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</si>
  <si>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</si>
  <si>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</si>
  <si>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</si>
  <si>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</si>
  <si>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</si>
  <si>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</si>
  <si>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</si>
  <si>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</si>
  <si>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</si>
  <si>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</si>
  <si>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</si>
  <si>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</si>
  <si>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</si>
  <si>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</si>
  <si>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</si>
  <si>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</si>
  <si>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</si>
  <si>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</si>
  <si>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</si>
  <si>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</si>
  <si>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</si>
  <si>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</si>
  <si>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</si>
  <si>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</si>
  <si>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</si>
  <si>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</si>
  <si>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</si>
  <si>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</si>
  <si>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</si>
  <si>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</si>
  <si>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</si>
  <si>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</si>
  <si>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</si>
  <si>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</si>
  <si>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</si>
  <si>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</si>
  <si>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</si>
  <si>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</si>
  <si>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</si>
  <si>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</si>
  <si>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</si>
  <si>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</si>
  <si>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</si>
  <si>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</si>
  <si>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</si>
  <si>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</si>
  <si>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</si>
  <si>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</si>
  <si>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</si>
  <si>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</si>
  <si>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</si>
  <si>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</si>
  <si>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</si>
  <si>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</si>
  <si>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</si>
  <si>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</si>
  <si>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</si>
  <si>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</si>
  <si>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</si>
  <si>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</si>
  <si>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</si>
  <si>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</si>
  <si>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</si>
  <si>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</si>
  <si>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</si>
  <si>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</si>
  <si>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</si>
  <si>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</si>
  <si>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</si>
  <si>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</si>
  <si>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</si>
  <si>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</si>
  <si>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</si>
  <si>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</si>
  <si>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</si>
  <si>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</si>
  <si>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</si>
  <si>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</si>
  <si>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</si>
  <si>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</si>
  <si>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</si>
  <si>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</si>
  <si>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</si>
  <si>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</si>
  <si>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</si>
  <si>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</si>
  <si>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</si>
  <si>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</si>
  <si>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</si>
  <si>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</si>
  <si>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</si>
  <si>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</si>
  <si>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</si>
  <si>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</si>
  <si>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</si>
  <si>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</si>
  <si>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</si>
  <si>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</si>
  <si>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</si>
  <si>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</si>
  <si>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</si>
  <si>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</si>
  <si>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</si>
  <si>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</si>
  <si>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</si>
  <si>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</si>
  <si>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</si>
  <si>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</si>
  <si>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</si>
  <si>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</si>
  <si>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</si>
  <si>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</si>
  <si>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</si>
  <si>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</si>
  <si>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</si>
  <si>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</si>
  <si>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</si>
  <si>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</si>
  <si>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</si>
  <si>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</si>
  <si>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</si>
  <si>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</si>
  <si>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</si>
  <si>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</si>
  <si>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</si>
  <si>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</si>
  <si>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</si>
  <si>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</si>
  <si>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</si>
  <si>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</si>
  <si>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</si>
  <si>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</si>
  <si>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</si>
  <si>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</si>
  <si>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</si>
  <si>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</si>
  <si>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</si>
  <si>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</si>
  <si>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</si>
  <si>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</si>
  <si>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</si>
  <si>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</si>
  <si>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</si>
  <si>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</si>
  <si>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</si>
  <si>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</si>
  <si>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</si>
  <si>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</si>
  <si>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</si>
  <si>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</si>
  <si>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</si>
  <si>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</si>
  <si>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</si>
  <si>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</si>
  <si>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</si>
  <si>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</si>
  <si>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</si>
  <si>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</si>
  <si>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</si>
  <si>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</si>
  <si>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</si>
  <si>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</si>
  <si>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</si>
  <si>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</si>
  <si>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</si>
  <si>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</si>
  <si>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</si>
  <si>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</si>
  <si>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</si>
  <si>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</si>
  <si>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</si>
  <si>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</si>
  <si>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</si>
  <si>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</si>
  <si>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</si>
  <si>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</si>
  <si>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</si>
  <si>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</si>
  <si>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</si>
  <si>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</si>
  <si>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</si>
  <si>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</si>
  <si>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</si>
  <si>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</si>
  <si>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</si>
  <si>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</si>
  <si>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</si>
  <si>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</si>
  <si>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</si>
  <si>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</si>
  <si>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</si>
  <si>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</si>
  <si>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</si>
  <si>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</si>
  <si>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</si>
  <si>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</si>
  <si>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</si>
  <si>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</si>
  <si>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</si>
  <si>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</si>
  <si>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</si>
  <si>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</si>
  <si>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</si>
  <si>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</si>
  <si>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</si>
  <si>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</si>
  <si>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</si>
  <si>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</si>
  <si>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</si>
  <si>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</si>
  <si>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</si>
  <si>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</si>
  <si>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</si>
  <si>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</si>
  <si>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</si>
  <si>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</si>
  <si>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</si>
  <si>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</si>
  <si>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</si>
  <si>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</si>
  <si>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</si>
  <si>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</si>
  <si>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</si>
  <si>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</si>
  <si>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</si>
  <si>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</si>
  <si>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</si>
  <si>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</si>
  <si>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</si>
  <si>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</si>
  <si>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</si>
  <si>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</si>
  <si>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</si>
  <si>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</si>
  <si>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</si>
  <si>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</si>
  <si>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</si>
  <si>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</si>
  <si>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</si>
  <si>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</si>
  <si>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</si>
  <si>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</si>
  <si>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</si>
  <si>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</si>
  <si>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</si>
  <si>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</si>
  <si>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</si>
  <si>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</si>
  <si>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</si>
  <si>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</si>
  <si>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</si>
  <si>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</si>
  <si>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</si>
  <si>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</si>
  <si>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</si>
  <si>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</si>
  <si>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</si>
  <si>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</si>
  <si>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</si>
  <si>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</si>
  <si>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</si>
  <si>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</si>
  <si>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</si>
  <si>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</si>
  <si>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</si>
  <si>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</si>
  <si>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</si>
  <si>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</si>
  <si>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</si>
  <si>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</si>
  <si>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</si>
  <si>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</si>
  <si>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</si>
  <si>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</si>
  <si>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</si>
  <si>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</si>
  <si>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</si>
  <si>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</si>
  <si>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</si>
  <si>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</si>
  <si>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</si>
  <si>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</si>
  <si>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</si>
  <si>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</si>
  <si>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</si>
  <si>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</si>
  <si>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</si>
  <si>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</si>
  <si>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</si>
  <si>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</si>
  <si>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</si>
  <si>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</si>
  <si>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</si>
  <si>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</si>
  <si>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</si>
  <si>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</si>
  <si>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</si>
  <si>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</si>
  <si>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</si>
  <si>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</si>
  <si>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</si>
  <si>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</si>
  <si>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</si>
  <si>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</si>
  <si>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</si>
  <si>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</si>
  <si>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</si>
  <si>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</si>
  <si>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</si>
  <si>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</si>
  <si>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</si>
  <si>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</si>
  <si>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</si>
  <si>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</si>
  <si>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</si>
  <si>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</si>
  <si>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</si>
  <si>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</si>
  <si>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</si>
  <si>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</si>
  <si>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</si>
  <si>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</si>
  <si>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</si>
  <si>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</si>
  <si>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</si>
  <si>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</si>
  <si>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</si>
  <si>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</si>
  <si>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</si>
  <si>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</si>
  <si>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</si>
  <si>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</si>
  <si>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</si>
  <si>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</si>
  <si>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</si>
  <si>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</si>
  <si>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</si>
  <si>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</si>
  <si>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</si>
  <si>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</si>
  <si>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</si>
  <si>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</si>
  <si>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</si>
  <si>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</si>
  <si>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</si>
  <si>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</si>
  <si>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</si>
  <si>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</si>
  <si>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</si>
  <si>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</si>
  <si>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</si>
  <si>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</si>
  <si>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</si>
  <si>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</si>
  <si>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</si>
  <si>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</si>
  <si>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</si>
  <si>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</si>
  <si>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</si>
  <si>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</si>
  <si>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</si>
  <si>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</si>
  <si>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</si>
  <si>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</si>
  <si>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</si>
  <si>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</si>
  <si>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</si>
  <si>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</si>
  <si>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</si>
  <si>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</si>
  <si>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</si>
  <si>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</si>
  <si>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</si>
  <si>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</si>
  <si>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</si>
  <si>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</si>
  <si>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</si>
  <si>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</si>
  <si>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</si>
  <si>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</si>
  <si>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</si>
  <si>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</si>
  <si>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</si>
  <si>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</si>
  <si>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</si>
  <si>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</si>
  <si>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</si>
  <si>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</si>
  <si>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</si>
  <si>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</si>
  <si>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</si>
  <si>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</si>
  <si>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</si>
  <si>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</si>
  <si>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</si>
  <si>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</si>
  <si>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</si>
  <si>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</si>
  <si>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</si>
  <si>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</si>
  <si>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</si>
  <si>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</si>
  <si>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</si>
  <si>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</si>
  <si>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</si>
  <si>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</si>
  <si>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</si>
  <si>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</si>
  <si>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</si>
  <si>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</si>
  <si>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</si>
  <si>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</si>
  <si>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</si>
  <si>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</si>
  <si>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</si>
  <si>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</si>
  <si>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</si>
  <si>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</si>
  <si>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</si>
  <si>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</si>
  <si>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</si>
  <si>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</si>
  <si>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</si>
  <si>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</si>
  <si>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</si>
  <si>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</si>
  <si>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</si>
  <si>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</si>
  <si>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</si>
  <si>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</si>
  <si>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</si>
  <si>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</si>
  <si>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</si>
  <si>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</si>
  <si>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</si>
  <si>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</si>
  <si>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</si>
  <si>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</si>
  <si>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</si>
  <si>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</si>
  <si>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</si>
  <si>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</si>
  <si>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</si>
  <si>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</si>
  <si>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</si>
  <si>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</si>
  <si>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</si>
  <si>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</si>
  <si>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</si>
  <si>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</si>
  <si>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</si>
  <si>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</si>
  <si>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</si>
  <si>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</si>
  <si>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</si>
  <si>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</si>
  <si>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</si>
  <si>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</si>
  <si>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</si>
  <si>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</si>
  <si>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</si>
  <si>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</si>
  <si>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</si>
  <si>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</si>
  <si>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</si>
  <si>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</si>
  <si>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</si>
  <si>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</si>
  <si>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</si>
  <si>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</si>
  <si>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</si>
  <si>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</si>
  <si>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</si>
  <si>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</si>
  <si>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</si>
  <si>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</si>
  <si>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</si>
  <si>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</si>
  <si>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</si>
  <si>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</si>
  <si>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</si>
  <si>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</si>
  <si>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</si>
  <si>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</si>
  <si>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</si>
  <si>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</si>
  <si>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</si>
  <si>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</si>
  <si>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</si>
  <si>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</si>
  <si>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</si>
  <si>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</si>
  <si>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</si>
  <si>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</si>
  <si>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</si>
  <si>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</si>
  <si>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</si>
  <si>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</si>
  <si>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</si>
  <si>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</si>
  <si>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</si>
  <si>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</si>
  <si>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</si>
  <si>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</si>
  <si>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</si>
  <si>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</si>
  <si>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</si>
  <si>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</si>
  <si>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</si>
  <si>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</si>
  <si>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</si>
  <si>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</si>
  <si>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</si>
  <si>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</si>
  <si>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</si>
  <si>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</si>
  <si>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</si>
  <si>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</si>
  <si>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</si>
  <si>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</si>
  <si>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</si>
  <si>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</si>
  <si>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</si>
  <si>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</si>
  <si>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</si>
  <si>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</si>
  <si>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</si>
  <si>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</si>
  <si>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</si>
  <si>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</si>
  <si>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</si>
  <si>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</si>
  <si>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</si>
  <si>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</si>
  <si>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</si>
  <si>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</si>
  <si>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</si>
  <si>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</si>
  <si>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</si>
  <si>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</si>
  <si>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</si>
  <si>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</si>
  <si>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</si>
  <si>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</si>
  <si>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</si>
  <si>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</si>
  <si>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</si>
  <si>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</si>
  <si>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</si>
  <si>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</si>
  <si>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</si>
  <si>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</si>
  <si>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</si>
  <si>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</si>
  <si>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</si>
  <si>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</si>
  <si>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</si>
  <si>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</si>
  <si>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</si>
  <si>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</si>
  <si>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</si>
  <si>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</si>
  <si>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</si>
  <si>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</si>
  <si>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</si>
  <si>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</si>
  <si>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</si>
  <si>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</si>
  <si>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</si>
  <si>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</si>
  <si>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</si>
  <si>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</si>
  <si>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</si>
  <si>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</si>
  <si>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</si>
  <si>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</si>
  <si>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</si>
  <si>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</si>
  <si>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</si>
  <si>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</si>
  <si>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</si>
  <si>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</si>
  <si>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</si>
  <si>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</si>
  <si>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</si>
  <si>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</si>
  <si>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</si>
  <si>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</si>
  <si>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</si>
  <si>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</si>
  <si>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</si>
  <si>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</si>
  <si>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</si>
  <si>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</si>
  <si>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</si>
  <si>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</si>
  <si>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</si>
  <si>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</si>
  <si>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</si>
  <si>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</si>
  <si>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</si>
  <si>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</si>
  <si>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</si>
  <si>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</si>
  <si>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</si>
  <si>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</si>
  <si>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</si>
  <si>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</si>
  <si>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</si>
  <si>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</si>
  <si>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</si>
  <si>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</si>
  <si>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</si>
  <si>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</si>
  <si>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</si>
  <si>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</si>
  <si>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</si>
  <si>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</si>
  <si>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</si>
  <si>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</si>
  <si>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</si>
  <si>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</si>
  <si>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</si>
  <si>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</si>
  <si>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</si>
  <si>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</si>
  <si>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</si>
  <si>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</si>
  <si>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</si>
  <si>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</si>
  <si>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</si>
  <si>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</si>
  <si>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</si>
  <si>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</si>
  <si>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</si>
  <si>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</si>
  <si>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</si>
  <si>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</si>
  <si>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</si>
  <si>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</si>
  <si>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</si>
  <si>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</si>
  <si>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</si>
  <si>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</si>
  <si>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</si>
  <si>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</si>
  <si>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</si>
  <si>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</si>
  <si>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</si>
  <si>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</si>
  <si>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</si>
  <si>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</si>
  <si>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</si>
  <si>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</si>
  <si>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</si>
  <si>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</si>
  <si>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</si>
  <si>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</si>
  <si>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</si>
  <si>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</si>
  <si>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</si>
  <si>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</si>
  <si>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</si>
  <si>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</si>
  <si>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</si>
  <si>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</si>
  <si>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</si>
  <si>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</si>
  <si>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</si>
  <si>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</si>
  <si>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</si>
  <si>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</si>
  <si>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</si>
  <si>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</si>
  <si>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</si>
  <si>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</si>
  <si>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</si>
  <si>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</si>
  <si>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</si>
  <si>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</si>
  <si>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</si>
  <si>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</si>
  <si>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</si>
  <si>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</si>
  <si>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</si>
  <si>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</si>
  <si>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</si>
  <si>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</si>
  <si>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</si>
  <si>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</si>
  <si>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</si>
  <si>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</si>
  <si>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</si>
  <si>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</si>
  <si>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</si>
  <si>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</si>
  <si>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</si>
  <si>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</si>
  <si>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</si>
  <si>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</si>
  <si>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</si>
  <si>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</si>
  <si>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</si>
  <si>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</si>
  <si>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</si>
  <si>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</si>
  <si>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</si>
  <si>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</si>
  <si>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</si>
  <si>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</si>
  <si>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</si>
  <si>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</si>
  <si>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</si>
  <si>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</si>
  <si>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</si>
  <si>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</si>
  <si>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</si>
  <si>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</si>
  <si>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</si>
  <si>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</si>
  <si>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</si>
  <si>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</si>
  <si>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</si>
  <si>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</si>
  <si>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</si>
  <si>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</si>
  <si>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</si>
  <si>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</si>
  <si>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</si>
  <si>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</si>
  <si>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</si>
  <si>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</si>
  <si>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</si>
  <si>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</si>
  <si>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</si>
  <si>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</si>
  <si>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</si>
  <si>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</si>
  <si>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</si>
  <si>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</si>
  <si>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</si>
  <si>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</si>
  <si>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</si>
  <si>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</si>
  <si>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</si>
  <si>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</si>
  <si>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</si>
  <si>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</si>
  <si>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</si>
  <si>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</si>
  <si>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</si>
  <si>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</si>
  <si>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</si>
  <si>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</si>
  <si>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</si>
  <si>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</si>
  <si>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</si>
  <si>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</si>
  <si>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</si>
  <si>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</si>
  <si>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</si>
  <si>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</si>
  <si>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</si>
  <si>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</si>
  <si>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</si>
  <si>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</si>
  <si>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</si>
  <si>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</si>
  <si>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</si>
  <si>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</si>
  <si>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</si>
  <si>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</si>
  <si>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</si>
  <si>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</si>
  <si>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</si>
  <si>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</si>
  <si>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</si>
  <si>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</si>
  <si>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</si>
  <si>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</si>
  <si>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</si>
  <si>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</si>
  <si>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</si>
  <si>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</si>
  <si>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</si>
  <si>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</si>
  <si>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</si>
  <si>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</si>
  <si>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</si>
  <si>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</si>
  <si>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</si>
  <si>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</si>
  <si>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</si>
  <si>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</si>
  <si>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</si>
  <si>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</si>
  <si>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</si>
  <si>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</si>
  <si>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</si>
  <si>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</si>
  <si>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</si>
  <si>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</si>
  <si>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</si>
  <si>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</si>
  <si>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</si>
  <si>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</si>
  <si>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</si>
  <si>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</si>
  <si>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</si>
  <si>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</si>
  <si>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</si>
  <si>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</si>
  <si>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</si>
  <si>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</si>
  <si>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</si>
  <si>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</si>
  <si>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</si>
  <si>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</si>
  <si>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</si>
  <si>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</si>
  <si>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</si>
  <si>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</si>
  <si>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</si>
  <si>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</si>
  <si>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</si>
  <si>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</si>
  <si>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</si>
  <si>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</si>
  <si>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</si>
  <si>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</si>
  <si>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</si>
  <si>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</si>
  <si>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</si>
  <si>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</si>
  <si>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</si>
  <si>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</si>
  <si>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</si>
  <si>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</si>
  <si>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</si>
  <si>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</si>
  <si>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</si>
  <si>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</si>
  <si>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</si>
  <si>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</si>
  <si>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</si>
  <si>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</si>
  <si>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</si>
  <si>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</si>
  <si>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</si>
  <si>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</si>
  <si>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</si>
  <si>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</si>
  <si>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</si>
  <si>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</si>
  <si>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</si>
  <si>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</si>
  <si>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</si>
  <si>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</si>
  <si>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</si>
  <si>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</si>
  <si>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</si>
  <si>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</si>
  <si>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</si>
  <si>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</si>
  <si>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</si>
  <si>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</si>
  <si>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</si>
  <si>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</si>
  <si>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</si>
  <si>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</si>
  <si>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</si>
  <si>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</si>
  <si>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</si>
  <si>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</si>
  <si>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</si>
  <si>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</si>
  <si>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</si>
  <si>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</si>
  <si>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</si>
  <si>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</si>
  <si>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</si>
  <si>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</si>
  <si>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</si>
  <si>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</si>
  <si>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</si>
  <si>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</si>
  <si>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</si>
  <si>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</si>
  <si>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</si>
  <si>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</si>
  <si>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</si>
  <si>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</si>
  <si>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</si>
  <si>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</si>
  <si>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</si>
  <si>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</si>
  <si>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</si>
  <si>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</si>
  <si>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</si>
  <si>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</si>
  <si>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</si>
  <si>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</si>
  <si>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</si>
  <si>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</si>
  <si>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</si>
  <si>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</si>
  <si>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</si>
  <si>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</si>
  <si>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</si>
  <si>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</si>
  <si>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</si>
  <si>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</si>
  <si>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</si>
  <si>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</si>
  <si>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</si>
  <si>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</si>
  <si>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</si>
  <si>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</si>
  <si>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</si>
  <si>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</si>
  <si>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</si>
  <si>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</si>
  <si>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</si>
  <si>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</si>
  <si>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</si>
  <si>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</si>
  <si>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</si>
  <si>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</si>
  <si>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</si>
  <si>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</si>
  <si>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</si>
  <si>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</si>
  <si>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</si>
  <si>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</si>
  <si>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</si>
  <si>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</si>
  <si>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</si>
  <si>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</si>
  <si>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</si>
  <si>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</si>
  <si>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</si>
  <si>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</si>
  <si>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</si>
  <si>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</si>
  <si>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</si>
  <si>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</si>
  <si>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</si>
  <si>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</si>
  <si>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</si>
  <si>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</si>
  <si>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</si>
  <si>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</si>
  <si>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</si>
  <si>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</si>
  <si>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</si>
  <si>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</si>
  <si>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</si>
  <si>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</si>
  <si>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</si>
  <si>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</si>
  <si>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</si>
  <si>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</si>
  <si>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</si>
  <si>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</si>
  <si>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</si>
  <si>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</si>
  <si>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</si>
  <si>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</si>
  <si>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</si>
  <si>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</si>
  <si>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</si>
  <si>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</si>
  <si>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</si>
  <si>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</si>
  <si>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</si>
  <si>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</si>
  <si>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</si>
  <si>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</si>
  <si>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</si>
  <si>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</si>
  <si>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</si>
  <si>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</si>
  <si>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</si>
  <si>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</si>
  <si>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</si>
  <si>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</si>
  <si>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</si>
  <si>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</si>
  <si>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</si>
  <si>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</si>
  <si>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</si>
  <si>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</si>
  <si>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</si>
  <si>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</si>
  <si>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</si>
  <si>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</si>
  <si>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</si>
  <si>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</si>
  <si>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</si>
  <si>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</si>
  <si>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</si>
  <si>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</si>
  <si>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</si>
  <si>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</si>
  <si>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</si>
  <si>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</si>
  <si>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</si>
  <si>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</si>
  <si>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</si>
  <si>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</si>
  <si>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</si>
  <si>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</si>
  <si>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</si>
  <si>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</si>
  <si>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</si>
  <si>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</si>
  <si>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</si>
  <si>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</si>
  <si>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</si>
  <si>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</si>
  <si>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</si>
  <si>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</si>
  <si>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</si>
  <si>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</si>
  <si>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</si>
  <si>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</si>
  <si>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</si>
  <si>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</si>
  <si>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</si>
  <si>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</si>
  <si>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</si>
  <si>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</si>
  <si>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</si>
  <si>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</si>
  <si>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</si>
  <si>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</si>
  <si>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</si>
  <si>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</si>
  <si>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</si>
  <si>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</si>
  <si>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</si>
  <si>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</si>
  <si>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</si>
  <si>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</si>
  <si>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</si>
  <si>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</si>
  <si>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</si>
  <si>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</si>
  <si>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</si>
  <si>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</si>
  <si>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</si>
  <si>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</si>
  <si>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</si>
  <si>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</si>
  <si>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</si>
  <si>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</si>
  <si>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</si>
  <si>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</si>
  <si>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</si>
  <si>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</si>
  <si>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</si>
  <si>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</si>
  <si>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</si>
  <si>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</si>
  <si>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</si>
  <si>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</si>
  <si>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</si>
  <si>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</si>
  <si>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</si>
  <si>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</si>
  <si>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</si>
  <si>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</si>
  <si>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</si>
  <si>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</si>
  <si>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</si>
  <si>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</si>
  <si>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</si>
  <si>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</si>
  <si>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</si>
  <si>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</si>
  <si>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</si>
  <si>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</si>
  <si>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</si>
  <si>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</si>
  <si>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</si>
  <si>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</si>
  <si>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</si>
  <si>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</si>
  <si>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</si>
  <si>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</si>
  <si>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</si>
  <si>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</si>
  <si>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</si>
  <si>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</si>
  <si>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</si>
  <si>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</si>
  <si>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</si>
  <si>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</si>
  <si>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</si>
  <si>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</si>
  <si>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</si>
  <si>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</si>
  <si>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</si>
  <si>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</si>
  <si>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</si>
  <si>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</si>
  <si>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</si>
  <si>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</si>
  <si>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</si>
  <si>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</si>
  <si>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</si>
  <si>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</si>
  <si>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</si>
  <si>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</si>
  <si>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</si>
  <si>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</si>
  <si>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</si>
  <si>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</si>
  <si>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</si>
  <si>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</si>
  <si>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</si>
  <si>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</si>
  <si>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</si>
  <si>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</si>
  <si>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</si>
  <si>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</si>
  <si>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</si>
  <si>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</si>
  <si>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</si>
  <si>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</si>
  <si>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</si>
  <si>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</si>
  <si>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</si>
  <si>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</si>
  <si>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</si>
  <si>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</si>
  <si>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</si>
  <si>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</si>
  <si>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</si>
  <si>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</si>
  <si>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</si>
  <si>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</si>
  <si>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</si>
  <si>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</si>
  <si>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</si>
  <si>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</si>
  <si>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</si>
  <si>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</si>
  <si>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</si>
  <si>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</si>
  <si>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</si>
  <si>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</si>
  <si>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</si>
  <si>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</si>
  <si>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</si>
  <si>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</si>
  <si>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</si>
  <si>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</si>
  <si>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</si>
  <si>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</si>
  <si>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</si>
  <si>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</si>
  <si>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</si>
  <si>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</si>
  <si>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</si>
  <si>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</si>
  <si>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</si>
  <si>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</si>
  <si>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</si>
  <si>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</si>
  <si>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</si>
  <si>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</si>
  <si>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</si>
  <si>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</si>
  <si>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</si>
  <si>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</si>
  <si>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</si>
  <si>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</si>
  <si>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</si>
  <si>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</si>
  <si>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</si>
  <si>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</si>
  <si>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</si>
  <si>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</si>
  <si>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</si>
  <si>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</si>
  <si>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</si>
  <si>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</si>
  <si>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</si>
  <si>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</si>
  <si>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</si>
  <si>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</si>
  <si>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</si>
  <si>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</si>
  <si>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</si>
  <si>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</si>
  <si>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</si>
  <si>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</si>
  <si>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</si>
  <si>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</si>
  <si>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</si>
  <si>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</si>
  <si>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</si>
  <si>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</si>
  <si>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</si>
  <si>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</si>
  <si>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</si>
  <si>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</si>
  <si>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</si>
  <si>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</si>
  <si>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</si>
  <si>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</si>
  <si>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</si>
  <si>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</si>
  <si>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</si>
  <si>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</si>
  <si>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</si>
  <si>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</si>
  <si>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</si>
  <si>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</si>
  <si>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</si>
  <si>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</si>
  <si>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</si>
  <si>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</si>
  <si>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</si>
  <si>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</si>
  <si>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</si>
  <si>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</si>
  <si>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</si>
  <si>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</si>
  <si>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</si>
  <si>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</si>
  <si>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</si>
  <si>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</si>
  <si>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</si>
  <si>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</si>
  <si>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</si>
  <si>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</si>
  <si>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</si>
  <si>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</si>
  <si>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</si>
  <si>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</si>
  <si>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</si>
  <si>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</si>
  <si>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</si>
  <si>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</si>
  <si>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</si>
  <si>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</si>
  <si>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</si>
  <si>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</si>
  <si>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</si>
  <si>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</si>
  <si>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</si>
  <si>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</si>
  <si>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</si>
  <si>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</si>
  <si>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</si>
  <si>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</si>
  <si>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</si>
  <si>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</si>
  <si>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</si>
  <si>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</si>
  <si>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</si>
  <si>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</si>
  <si>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</si>
  <si>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</si>
  <si>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</si>
  <si>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</si>
  <si>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</si>
  <si>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</si>
  <si>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</si>
  <si>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</si>
  <si>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</si>
  <si>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</si>
  <si>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</si>
  <si>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</si>
  <si>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</si>
  <si>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</si>
  <si>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</si>
  <si>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</si>
  <si>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</si>
  <si>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</si>
  <si>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</si>
  <si>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</si>
  <si>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</si>
  <si>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</si>
  <si>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</si>
  <si>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</si>
  <si>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</si>
  <si>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</si>
  <si>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</si>
  <si>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</si>
  <si>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</si>
  <si>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</si>
  <si>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</si>
  <si>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</si>
  <si>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</si>
  <si>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</si>
  <si>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</si>
  <si>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</si>
  <si>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</si>
  <si>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</si>
  <si>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</si>
  <si>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</si>
  <si>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</si>
  <si>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</si>
  <si>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</si>
  <si>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</si>
  <si>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</si>
  <si>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</si>
  <si>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</si>
  <si>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</si>
  <si>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</si>
  <si>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</si>
  <si>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</si>
  <si>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</si>
  <si>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</si>
  <si>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</si>
  <si>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</si>
  <si>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</si>
  <si>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</si>
  <si>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</si>
  <si>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</si>
  <si>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</si>
  <si>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</si>
  <si>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</si>
  <si>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</si>
  <si>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</si>
  <si>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</si>
  <si>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</si>
  <si>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</si>
  <si>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</si>
  <si>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</si>
  <si>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</si>
  <si>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</si>
  <si>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</si>
  <si>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</si>
  <si>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</si>
  <si>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</si>
  <si>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</si>
  <si>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</si>
  <si>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</si>
  <si>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</si>
  <si>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</si>
  <si>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</si>
  <si>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</si>
  <si>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</si>
  <si>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</si>
  <si>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</si>
  <si>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</si>
  <si>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</si>
  <si>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</si>
  <si>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</si>
  <si>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</si>
  <si>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</si>
  <si>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</si>
  <si>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</si>
  <si>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</si>
  <si>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</si>
  <si>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</si>
  <si>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</si>
  <si>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</si>
  <si>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</si>
  <si>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</si>
  <si>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</si>
  <si>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</si>
  <si>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</si>
  <si>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</si>
  <si>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</si>
  <si>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</si>
  <si>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</si>
  <si>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</si>
  <si>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</si>
  <si>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</si>
  <si>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</si>
  <si>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</si>
  <si>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</si>
  <si>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</si>
  <si>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</si>
  <si>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</si>
  <si>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</si>
  <si>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</si>
  <si>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</si>
  <si>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</si>
  <si>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</si>
  <si>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</si>
  <si>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</si>
  <si>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</si>
  <si>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</si>
  <si>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</si>
  <si>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</si>
  <si>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</si>
  <si>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</si>
  <si>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</si>
  <si>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</si>
  <si>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</si>
  <si>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</si>
  <si>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</si>
  <si>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</si>
  <si>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</si>
  <si>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</si>
  <si>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</si>
  <si>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</si>
  <si>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</si>
  <si>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</si>
  <si>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</si>
  <si>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</si>
  <si>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</si>
  <si>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</si>
  <si>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</si>
  <si>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</si>
  <si>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</si>
  <si>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</si>
  <si>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</si>
  <si>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</si>
  <si>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</si>
  <si>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</si>
  <si>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</si>
  <si>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</si>
  <si>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</si>
  <si>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</si>
  <si>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</si>
  <si>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</si>
  <si>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</si>
  <si>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</si>
  <si>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</si>
  <si>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</si>
  <si>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</si>
  <si>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</si>
  <si>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</si>
  <si>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</si>
  <si>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</si>
  <si>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</si>
  <si>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</si>
  <si>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</si>
  <si>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</si>
  <si>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</si>
  <si>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</si>
  <si>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</si>
  <si>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</si>
  <si>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</si>
  <si>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</si>
  <si>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</si>
  <si>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</si>
  <si>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</si>
  <si>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</si>
  <si>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</si>
  <si>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</si>
  <si>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</si>
  <si>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</si>
  <si>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</si>
  <si>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</si>
  <si>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</si>
  <si>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</si>
  <si>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</si>
  <si>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</si>
  <si>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</si>
  <si>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</si>
  <si>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</si>
  <si>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</si>
  <si>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</si>
  <si>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</si>
  <si>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</si>
  <si>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</si>
  <si>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</si>
  <si>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</si>
  <si>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</si>
  <si>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</si>
  <si>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</si>
  <si>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</si>
  <si>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</si>
  <si>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</si>
  <si>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</si>
  <si>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</si>
  <si>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</si>
  <si>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</si>
  <si>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</si>
  <si>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</si>
  <si>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</si>
  <si>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</si>
  <si>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</si>
  <si>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</si>
  <si>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</si>
  <si>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</si>
  <si>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</si>
  <si>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</si>
  <si>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</si>
  <si>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</si>
  <si>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</si>
  <si>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</si>
  <si>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</si>
  <si>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</si>
  <si>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</si>
  <si>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</si>
  <si>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</si>
  <si>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</si>
  <si>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</si>
  <si>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</si>
  <si>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</si>
  <si>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</si>
  <si>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</si>
  <si>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</si>
  <si>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</si>
  <si>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</si>
  <si>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</si>
  <si>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</si>
  <si>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</si>
  <si>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</si>
  <si>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</si>
  <si>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</si>
  <si>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</si>
  <si>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</si>
  <si>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</si>
  <si>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</si>
  <si>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</si>
  <si>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</si>
  <si>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</si>
  <si>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</si>
  <si>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</si>
  <si>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</si>
  <si>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</si>
  <si>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</si>
  <si>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</si>
  <si>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</si>
  <si>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</si>
  <si>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</si>
  <si>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</si>
  <si>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</si>
  <si>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</si>
  <si>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</si>
  <si>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</si>
  <si>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</si>
  <si>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</si>
  <si>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</si>
  <si>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</si>
  <si>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</si>
  <si>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</si>
  <si>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</si>
  <si>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</si>
  <si>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</si>
  <si>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</si>
  <si>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</si>
  <si>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</si>
  <si>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</si>
  <si>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</si>
  <si>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</si>
  <si>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</si>
  <si>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</si>
  <si>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</si>
  <si>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</si>
  <si>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</si>
  <si>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</si>
  <si>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</si>
  <si>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</si>
  <si>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</si>
  <si>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</si>
  <si>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</si>
  <si>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</si>
  <si>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</si>
  <si>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</si>
  <si>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</si>
  <si>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</si>
  <si>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</si>
  <si>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</si>
  <si>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</si>
  <si>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</si>
  <si>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</si>
  <si>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</si>
  <si>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</si>
  <si>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</si>
  <si>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</si>
  <si>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</si>
  <si>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</si>
  <si>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</si>
  <si>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</si>
  <si>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</si>
  <si>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</si>
  <si>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</si>
  <si>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</si>
  <si>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</si>
  <si>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</si>
  <si>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</si>
  <si>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</si>
  <si>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</si>
  <si>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</si>
  <si>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</si>
  <si>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</si>
  <si>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</si>
  <si>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</si>
  <si>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</si>
  <si>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</si>
  <si>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</si>
  <si>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</si>
  <si>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</si>
  <si>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</si>
  <si>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</si>
  <si>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</si>
  <si>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</si>
  <si>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</si>
  <si>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</si>
  <si>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</si>
  <si>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</si>
  <si>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</si>
  <si>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</si>
  <si>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</si>
  <si>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</si>
  <si>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</si>
  <si>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</si>
  <si>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</si>
  <si>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</si>
  <si>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</si>
  <si>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</si>
  <si>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</si>
  <si>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</si>
  <si>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</si>
  <si>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</si>
  <si>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</si>
  <si>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</si>
  <si>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</si>
  <si>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</si>
  <si>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</si>
  <si>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</si>
  <si>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</si>
  <si>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</si>
  <si>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</si>
  <si>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</si>
  <si>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</si>
  <si>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</si>
  <si>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</si>
  <si>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</si>
  <si>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</si>
  <si>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</si>
  <si>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</si>
  <si>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</si>
  <si>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</si>
  <si>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</si>
  <si>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</si>
  <si>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</si>
  <si>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</si>
  <si>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</si>
  <si>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</si>
  <si>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</si>
  <si>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</si>
  <si>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</si>
  <si>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</si>
  <si>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</si>
  <si>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</si>
  <si>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</si>
  <si>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</si>
  <si>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</si>
  <si>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</si>
  <si>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</si>
  <si>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</si>
  <si>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</si>
  <si>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</si>
  <si>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</si>
  <si>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</si>
  <si>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</si>
  <si>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</si>
  <si>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</si>
  <si>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</si>
  <si>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</si>
  <si>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</si>
  <si>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</si>
  <si>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</si>
  <si>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</si>
  <si>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</si>
  <si>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</si>
  <si>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</si>
  <si>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</si>
  <si>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</si>
  <si>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</si>
  <si>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</si>
  <si>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</si>
  <si>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</si>
  <si>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</si>
  <si>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</si>
  <si>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</si>
  <si>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</si>
  <si>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</si>
  <si>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</si>
  <si>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</si>
  <si>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</si>
  <si>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</si>
  <si>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</si>
  <si>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</si>
  <si>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</si>
  <si>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</si>
  <si>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</si>
  <si>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</si>
  <si>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</si>
  <si>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</si>
  <si>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</si>
  <si>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</si>
  <si>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</si>
  <si>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</si>
  <si>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</si>
  <si>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</si>
  <si>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</si>
  <si>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</si>
  <si>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</si>
  <si>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</si>
  <si>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</si>
  <si>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</si>
  <si>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</si>
  <si>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</si>
  <si>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</si>
  <si>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</si>
  <si>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</si>
  <si>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</si>
  <si>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</si>
  <si>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</si>
  <si>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</si>
  <si>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</si>
  <si>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</si>
  <si>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</si>
  <si>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</si>
  <si>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</si>
  <si>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</si>
  <si>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</si>
  <si>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</si>
  <si>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</si>
  <si>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</si>
  <si>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</si>
  <si>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</si>
  <si>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</si>
  <si>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</si>
  <si>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</si>
  <si>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</si>
  <si>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</si>
  <si>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</si>
  <si>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</si>
  <si>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</si>
  <si>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</si>
  <si>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</si>
  <si>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</si>
  <si>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</si>
  <si>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</si>
  <si>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</si>
  <si>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</si>
  <si>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</si>
  <si>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</si>
  <si>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</si>
  <si>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</si>
  <si>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</si>
  <si>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</si>
  <si>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</si>
  <si>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</si>
  <si>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</si>
  <si>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</si>
  <si>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</si>
  <si>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</si>
  <si>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</si>
  <si>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</si>
  <si>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</si>
  <si>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</si>
  <si>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</si>
  <si>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</si>
  <si>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</si>
  <si>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</si>
  <si>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</si>
  <si>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</si>
  <si>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</si>
  <si>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</si>
  <si>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</si>
  <si>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</si>
  <si>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</si>
  <si>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</si>
  <si>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</si>
  <si>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</si>
  <si>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</si>
  <si>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</si>
  <si>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</si>
  <si>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</si>
  <si>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</si>
  <si>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</si>
  <si>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</si>
  <si>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</si>
  <si>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</si>
  <si>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</si>
  <si>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</si>
  <si>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</si>
  <si>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</si>
  <si>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</si>
  <si>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</si>
  <si>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</si>
  <si>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</si>
  <si>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</si>
  <si>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</si>
  <si>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</si>
  <si>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</si>
  <si>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</si>
  <si>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</si>
  <si>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</si>
  <si>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</si>
  <si>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</si>
  <si>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</si>
  <si>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</si>
  <si>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</si>
  <si>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</si>
  <si>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</si>
  <si>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</si>
  <si>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</si>
  <si>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</si>
  <si>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</si>
  <si>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</si>
  <si>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</si>
  <si>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</si>
  <si>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</si>
  <si>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</si>
  <si>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</si>
  <si>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</si>
  <si>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</si>
  <si>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</si>
  <si>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</si>
  <si>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</si>
  <si>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</si>
  <si>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</si>
  <si>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</si>
  <si>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</si>
  <si>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</si>
  <si>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</si>
  <si>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</si>
  <si>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</si>
  <si>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</si>
  <si>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</si>
  <si>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</si>
  <si>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</si>
  <si>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</si>
  <si>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</si>
  <si>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</si>
  <si>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</si>
  <si>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</si>
  <si>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</si>
  <si>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</si>
  <si>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</si>
  <si>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</si>
  <si>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</si>
  <si>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</si>
  <si>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</si>
  <si>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</si>
  <si>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</si>
  <si>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</si>
  <si>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</si>
  <si>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</si>
  <si>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</si>
  <si>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</si>
  <si>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</si>
  <si>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</si>
  <si>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</si>
  <si>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</si>
  <si>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</si>
  <si>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</si>
  <si>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</si>
  <si>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</si>
  <si>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</si>
  <si>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</si>
  <si>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</si>
  <si>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</si>
  <si>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</si>
  <si>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</si>
  <si>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</si>
  <si>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</si>
  <si>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</si>
  <si>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</si>
  <si>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</si>
  <si>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</si>
  <si>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</si>
  <si>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</si>
  <si>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</si>
  <si>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</si>
  <si>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</si>
  <si>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</si>
  <si>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</si>
  <si>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</si>
  <si>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</si>
  <si>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</si>
  <si>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</si>
  <si>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</si>
  <si>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</si>
  <si>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</si>
  <si>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</si>
  <si>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</si>
  <si>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</si>
  <si>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</si>
  <si>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</si>
  <si>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</si>
  <si>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</si>
  <si>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</si>
  <si>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</si>
  <si>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</si>
  <si>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</si>
  <si>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</si>
  <si>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</si>
  <si>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</si>
  <si>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</si>
  <si>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</si>
  <si>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</si>
  <si>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</si>
  <si>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</si>
  <si>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</si>
  <si>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</si>
  <si>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</si>
  <si>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</si>
  <si>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</si>
  <si>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</si>
  <si>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</si>
  <si>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</si>
  <si>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</si>
  <si>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</si>
  <si>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</si>
  <si>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</si>
  <si>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</si>
  <si>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</si>
  <si>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</si>
  <si>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</si>
  <si>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</si>
  <si>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</si>
  <si>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</si>
  <si>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</si>
  <si>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</si>
  <si>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</si>
  <si>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</si>
  <si>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</si>
  <si>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</si>
  <si>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</si>
  <si>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</si>
  <si>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</si>
  <si>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</si>
  <si>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</si>
  <si>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</si>
  <si>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</si>
  <si>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</si>
  <si>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</si>
  <si>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</si>
  <si>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</si>
  <si>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</si>
  <si>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</si>
  <si>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</si>
  <si>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</si>
  <si>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</si>
  <si>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</si>
  <si>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</si>
  <si>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</si>
  <si>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</si>
  <si>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</si>
  <si>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</si>
  <si>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</si>
  <si>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</si>
  <si>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</si>
  <si>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</si>
  <si>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</si>
  <si>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</si>
  <si>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</si>
  <si>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</si>
  <si>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</si>
  <si>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</si>
  <si>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</si>
  <si>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</si>
  <si>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</si>
  <si>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</si>
  <si>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</si>
  <si>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</si>
  <si>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</si>
  <si>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</si>
  <si>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</si>
  <si>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</si>
  <si>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</si>
  <si>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</si>
  <si>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</si>
  <si>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</si>
  <si>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</si>
  <si>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</si>
  <si>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</si>
  <si>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</si>
  <si>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</si>
  <si>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</si>
  <si>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</si>
  <si>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</si>
  <si>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</si>
  <si>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</si>
  <si>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</si>
  <si>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</si>
  <si>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</si>
  <si>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</si>
  <si>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</si>
  <si>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</si>
  <si>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</si>
  <si>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</si>
  <si>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</si>
  <si>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</si>
  <si>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</si>
  <si>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</si>
  <si>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</si>
  <si>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</si>
  <si>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</si>
  <si>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</si>
  <si>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</si>
  <si>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</si>
  <si>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</si>
  <si>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</si>
  <si>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</si>
  <si>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</si>
  <si>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</si>
  <si>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</si>
  <si>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</si>
  <si>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</si>
  <si>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</si>
  <si>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</si>
  <si>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</si>
  <si>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</si>
  <si>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</si>
  <si>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</si>
  <si>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</si>
  <si>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</si>
  <si>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</si>
  <si>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</si>
  <si>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</si>
  <si>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</si>
  <si>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</si>
  <si>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</si>
  <si>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</si>
  <si>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</si>
  <si>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</si>
  <si>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</si>
  <si>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</si>
  <si>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</si>
  <si>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</si>
  <si>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</si>
  <si>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</si>
  <si>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</si>
  <si>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</si>
  <si>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</si>
  <si>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</si>
  <si>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</si>
  <si>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</si>
  <si>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</si>
  <si>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</si>
  <si>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</si>
  <si>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</si>
  <si>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</si>
  <si>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</si>
  <si>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</si>
  <si>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</si>
  <si>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</si>
  <si>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</si>
  <si>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</si>
  <si>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</si>
  <si>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</si>
  <si>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</si>
  <si>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</si>
  <si>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</si>
  <si>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</si>
  <si>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</si>
  <si>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</si>
  <si>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</si>
  <si>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</si>
  <si>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</si>
  <si>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</si>
  <si>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</si>
  <si>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</si>
  <si>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</si>
  <si>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</si>
  <si>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</si>
  <si>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</si>
  <si>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</si>
  <si>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</si>
  <si>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</si>
  <si>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</si>
  <si>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</si>
  <si>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</si>
  <si>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</si>
  <si>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</si>
  <si>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</si>
  <si>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</si>
  <si>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</si>
  <si>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</si>
  <si>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</si>
  <si>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</si>
  <si>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</si>
  <si>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</si>
  <si>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</si>
  <si>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</si>
  <si>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</si>
  <si>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</si>
  <si>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</si>
  <si>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</si>
  <si>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</si>
  <si>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</si>
  <si>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</si>
  <si>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</si>
  <si>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</si>
  <si>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</si>
  <si>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</si>
  <si>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</si>
  <si>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</si>
  <si>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</si>
  <si>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</si>
  <si>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</si>
  <si>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</si>
  <si>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</si>
  <si>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</si>
  <si>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</si>
  <si>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</si>
  <si>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</si>
  <si>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</si>
  <si>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</si>
  <si>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</si>
  <si>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</si>
  <si>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</si>
  <si>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</si>
  <si>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</si>
  <si>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</si>
  <si>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</si>
  <si>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</si>
  <si>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</si>
  <si>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</si>
  <si>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</si>
  <si>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</si>
  <si>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</si>
  <si>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</si>
  <si>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</si>
  <si>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</si>
  <si>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</si>
  <si>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</si>
  <si>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</si>
  <si>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</si>
  <si>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</si>
  <si>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</si>
  <si>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</si>
  <si>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</si>
  <si>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</si>
  <si>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</si>
  <si>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</si>
  <si>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</si>
  <si>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</si>
  <si>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</si>
  <si>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</si>
  <si>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</si>
  <si>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</si>
  <si>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</si>
  <si>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</si>
  <si>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</si>
  <si>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</si>
  <si>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</si>
  <si>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</si>
  <si>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</si>
  <si>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</si>
  <si>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</si>
  <si>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</si>
  <si>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</si>
  <si>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</si>
  <si>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</si>
  <si>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</si>
  <si>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</si>
  <si>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</si>
  <si>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</si>
  <si>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</si>
  <si>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</si>
  <si>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</si>
  <si>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</si>
  <si>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</si>
  <si>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</si>
  <si>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</si>
  <si>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</si>
  <si>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</si>
  <si>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</si>
  <si>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</si>
  <si>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</si>
  <si>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</si>
  <si>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</si>
  <si>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</si>
  <si>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</si>
  <si>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</si>
  <si>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</si>
  <si>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</si>
  <si>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</si>
  <si>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</si>
  <si>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</si>
  <si>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</si>
  <si>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</si>
  <si>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</si>
  <si>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</si>
  <si>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</si>
  <si>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</si>
  <si>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</si>
  <si>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</si>
  <si>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</si>
  <si>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</si>
  <si>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</si>
  <si>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</si>
  <si>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</si>
  <si>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</si>
  <si>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</si>
  <si>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</si>
  <si>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</si>
  <si>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</si>
  <si>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</si>
  <si>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</si>
  <si>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</si>
  <si>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</si>
  <si>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</si>
  <si>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</si>
  <si>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</si>
  <si>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</si>
  <si>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</si>
  <si>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</si>
  <si>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</si>
  <si>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</si>
  <si>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</si>
  <si>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</si>
  <si>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</si>
  <si>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</si>
  <si>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</si>
  <si>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</si>
  <si>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</si>
  <si>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</si>
  <si>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</si>
  <si>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</si>
  <si>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</si>
  <si>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</si>
  <si>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</si>
  <si>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</si>
  <si>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</si>
  <si>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</si>
  <si>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</si>
  <si>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</si>
  <si>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</si>
  <si>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</si>
  <si>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</si>
  <si>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</si>
  <si>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</si>
  <si>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</si>
  <si>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</si>
  <si>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</si>
  <si>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</si>
  <si>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</si>
  <si>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</si>
  <si>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</si>
  <si>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</si>
  <si>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</si>
  <si>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</si>
  <si>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</si>
  <si>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</si>
  <si>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</si>
  <si>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</si>
  <si>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</si>
  <si>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</si>
  <si>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</si>
  <si>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</si>
  <si>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</si>
  <si>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</si>
  <si>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</si>
  <si>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</si>
  <si>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</si>
  <si>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</si>
  <si>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</si>
  <si>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</si>
  <si>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</si>
  <si>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</si>
  <si>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</si>
  <si>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</si>
  <si>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</si>
  <si>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</si>
  <si>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</si>
  <si>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</si>
  <si>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</si>
  <si>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</si>
  <si>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</si>
  <si>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</si>
  <si>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</si>
  <si>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</si>
  <si>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</si>
  <si>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</si>
  <si>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</si>
  <si>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</si>
  <si>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</si>
  <si>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</si>
  <si>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</si>
  <si>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</si>
  <si>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</si>
  <si>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</si>
  <si>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</si>
  <si>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</si>
  <si>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</si>
  <si>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</si>
  <si>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</si>
  <si>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</si>
  <si>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</si>
  <si>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</si>
  <si>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</si>
  <si>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</si>
  <si>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</si>
  <si>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</si>
  <si>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</si>
  <si>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</si>
  <si>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</si>
  <si>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</si>
  <si>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</si>
  <si>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</si>
  <si>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</si>
  <si>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</si>
  <si>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</si>
  <si>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</si>
  <si>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</si>
  <si>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</si>
  <si>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</si>
  <si>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</si>
  <si>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</si>
  <si>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</si>
  <si>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</si>
  <si>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</si>
  <si>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</si>
  <si>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</si>
  <si>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</si>
  <si>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</si>
  <si>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</si>
  <si>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</si>
  <si>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</si>
  <si>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</si>
  <si>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</si>
  <si>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</si>
  <si>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</si>
  <si>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</si>
  <si>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</si>
  <si>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</si>
  <si>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</si>
  <si>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</si>
  <si>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</si>
  <si>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</si>
  <si>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</si>
  <si>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</si>
  <si>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</si>
  <si>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</si>
  <si>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</si>
  <si>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</si>
  <si>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</si>
  <si>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</si>
  <si>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</si>
  <si>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</si>
  <si>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</si>
  <si>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</si>
  <si>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</si>
  <si>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</si>
  <si>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</si>
  <si>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</si>
  <si>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</si>
  <si>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</si>
  <si>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</si>
  <si>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</si>
  <si>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</si>
  <si>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</si>
  <si>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</si>
  <si>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</si>
  <si>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</si>
  <si>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</si>
  <si>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</si>
  <si>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</si>
  <si>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</si>
  <si>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</si>
  <si>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</si>
  <si>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</si>
  <si>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</si>
  <si>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</si>
  <si>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</si>
  <si>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</si>
  <si>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</si>
  <si>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</si>
  <si>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</si>
  <si>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</si>
  <si>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</si>
  <si>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</si>
  <si>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</si>
  <si>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</si>
  <si>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</si>
  <si>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</si>
  <si>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</si>
  <si>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</si>
  <si>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</si>
  <si>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</si>
  <si>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</si>
  <si>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</si>
  <si>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</si>
  <si>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</si>
  <si>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</si>
  <si>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</si>
  <si>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</si>
  <si>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</si>
  <si>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</si>
  <si>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</si>
  <si>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</si>
  <si>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</si>
  <si>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</si>
  <si>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</si>
  <si>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</si>
  <si>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</si>
  <si>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</si>
  <si>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</si>
  <si>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</si>
  <si>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</si>
  <si>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</si>
  <si>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</si>
  <si>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</si>
  <si>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</si>
  <si>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</si>
  <si>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</si>
  <si>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</si>
  <si>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</si>
  <si>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</si>
  <si>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</si>
  <si>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</si>
  <si>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</si>
  <si>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</si>
  <si>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</si>
  <si>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</si>
  <si>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</si>
  <si>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</si>
  <si>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</si>
  <si>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</si>
  <si>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</si>
  <si>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</si>
  <si>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</si>
  <si>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</si>
  <si>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</si>
  <si>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</si>
  <si>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</si>
  <si>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</si>
  <si>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</si>
  <si>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</si>
  <si>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</si>
  <si>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</si>
  <si>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</si>
  <si>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</si>
  <si>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</si>
  <si>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</si>
  <si>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</si>
  <si>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</si>
  <si>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</si>
  <si>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</si>
  <si>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</si>
  <si>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</si>
  <si>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</si>
  <si>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</si>
  <si>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</si>
  <si>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</si>
  <si>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</si>
  <si>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</si>
  <si>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</si>
  <si>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</si>
  <si>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</si>
  <si>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</si>
  <si>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</si>
  <si>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</si>
  <si>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</si>
  <si>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</si>
  <si>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</si>
  <si>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</si>
  <si>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</si>
  <si>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</si>
  <si>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</si>
  <si>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</si>
  <si>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</si>
  <si>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</si>
  <si>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</si>
  <si>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</si>
  <si>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</si>
  <si>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</si>
  <si>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</si>
  <si>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</si>
  <si>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</si>
  <si>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</si>
  <si>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</si>
  <si>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</si>
  <si>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</si>
  <si>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</si>
  <si>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</si>
  <si>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</si>
  <si>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</si>
  <si>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</si>
  <si>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</si>
  <si>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</si>
  <si>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</si>
  <si>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</si>
  <si>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</si>
  <si>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</si>
  <si>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</si>
  <si>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</si>
  <si>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</si>
  <si>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</si>
  <si>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</si>
  <si>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</si>
  <si>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</si>
  <si>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</si>
  <si>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</si>
  <si>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</si>
  <si>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</si>
  <si>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</si>
  <si>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</si>
  <si>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</si>
  <si>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</si>
  <si>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</si>
  <si>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</si>
  <si>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</si>
  <si>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</si>
  <si>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</si>
  <si>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</si>
  <si>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</si>
  <si>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</si>
  <si>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</si>
  <si>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</si>
  <si>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</si>
  <si>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</si>
  <si>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</si>
  <si>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</si>
  <si>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</si>
  <si>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</si>
  <si>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</si>
  <si>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</si>
  <si>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</si>
  <si>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</si>
  <si>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</si>
  <si>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</si>
  <si>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</si>
  <si>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</si>
  <si>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</si>
  <si>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</si>
  <si>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</si>
  <si>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</si>
  <si>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</si>
  <si>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</si>
  <si>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</si>
  <si>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</si>
  <si>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</si>
  <si>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</si>
  <si>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</si>
  <si>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</si>
  <si>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</si>
  <si>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</si>
  <si>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</si>
  <si>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</si>
  <si>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</si>
  <si>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</si>
  <si>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</si>
  <si>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</si>
  <si>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</si>
  <si>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</si>
  <si>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</si>
  <si>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</si>
  <si>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</si>
  <si>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</si>
  <si>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</si>
  <si>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</si>
  <si>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</si>
  <si>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</si>
  <si>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</si>
  <si>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</si>
  <si>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</si>
  <si>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</si>
  <si>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</si>
  <si>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</si>
  <si>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</si>
  <si>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</si>
  <si>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</si>
  <si>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</si>
  <si>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</si>
  <si>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</si>
  <si>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</si>
  <si>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</si>
  <si>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</si>
  <si>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</si>
  <si>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</si>
  <si>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</si>
  <si>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</si>
  <si>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</si>
  <si>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</si>
  <si>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</si>
  <si>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</si>
  <si>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</si>
  <si>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</si>
  <si>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</si>
  <si>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</si>
  <si>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</si>
  <si>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</si>
  <si>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</si>
  <si>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</si>
  <si>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</si>
  <si>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</si>
  <si>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</si>
  <si>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</si>
  <si>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</si>
  <si>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</si>
  <si>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</si>
  <si>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</si>
  <si>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</si>
  <si>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</si>
  <si>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</si>
  <si>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</si>
  <si>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</si>
  <si>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</si>
  <si>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</si>
  <si>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</si>
  <si>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</si>
  <si>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</si>
  <si>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</si>
  <si>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</si>
  <si>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</si>
  <si>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</si>
  <si>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</si>
  <si>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</si>
  <si>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</si>
  <si>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</si>
  <si>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</si>
  <si>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</si>
  <si>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</si>
  <si>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</si>
  <si>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</si>
  <si>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</si>
  <si>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</si>
  <si>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</si>
  <si>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</si>
  <si>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</si>
  <si>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</si>
  <si>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</si>
  <si>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</si>
  <si>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</si>
  <si>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</si>
  <si>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</si>
  <si>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</si>
  <si>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</si>
  <si>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</si>
  <si>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</si>
  <si>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</si>
  <si>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</si>
  <si>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</si>
  <si>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</si>
  <si>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</si>
  <si>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</si>
  <si>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</si>
  <si>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</si>
  <si>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</si>
  <si>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</si>
  <si>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</si>
  <si>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</si>
  <si>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</si>
  <si>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</si>
  <si>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</si>
  <si>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</si>
  <si>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</si>
  <si>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</si>
  <si>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</si>
  <si>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</si>
  <si>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</si>
  <si>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</si>
  <si>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</si>
  <si>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</si>
  <si>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</si>
  <si>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</si>
  <si>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</si>
  <si>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</si>
  <si>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</si>
  <si>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</si>
  <si>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</si>
  <si>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</si>
  <si>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</si>
  <si>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</si>
  <si>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</si>
  <si>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</si>
  <si>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</si>
  <si>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</si>
  <si>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</si>
  <si>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</si>
  <si>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</si>
  <si>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</si>
  <si>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</si>
  <si>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</si>
  <si>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</si>
  <si>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</si>
  <si>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</si>
  <si>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</si>
  <si>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</si>
  <si>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</si>
  <si>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</si>
  <si>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</si>
  <si>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</si>
  <si>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</si>
  <si>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</si>
  <si>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</si>
  <si>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</si>
  <si>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</si>
  <si>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</si>
  <si>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</si>
  <si>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</si>
  <si>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</si>
  <si>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</si>
  <si>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</si>
  <si>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</si>
  <si>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</si>
  <si>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</si>
  <si>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</si>
  <si>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</si>
  <si>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</si>
  <si>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</si>
  <si>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</si>
  <si>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</si>
  <si>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</si>
  <si>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</si>
  <si>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</si>
  <si>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</si>
  <si>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</si>
  <si>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</si>
  <si>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</si>
  <si>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</si>
  <si>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</si>
  <si>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</si>
  <si>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</si>
  <si>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</si>
  <si>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</si>
  <si>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</si>
  <si>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</si>
  <si>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</si>
  <si>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</si>
  <si>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</si>
  <si>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</si>
  <si>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</si>
  <si>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</si>
  <si>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</si>
  <si>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</si>
  <si>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</si>
  <si>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</si>
  <si>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</si>
  <si>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</si>
  <si>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</si>
  <si>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</si>
  <si>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</si>
  <si>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</si>
  <si>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</si>
  <si>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</si>
  <si>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</si>
  <si>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</si>
  <si>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</si>
  <si>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</si>
  <si>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</si>
  <si>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</si>
  <si>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</si>
  <si>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</si>
  <si>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</si>
  <si>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</si>
  <si>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</si>
  <si>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</si>
  <si>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</si>
  <si>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</si>
  <si>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</si>
  <si>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</si>
  <si>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</si>
  <si>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</si>
  <si>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</si>
  <si>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</si>
  <si>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</si>
  <si>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</si>
  <si>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</si>
  <si>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</si>
  <si>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</si>
  <si>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</si>
  <si>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</si>
  <si>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</si>
  <si>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</si>
  <si>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</si>
  <si>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</si>
  <si>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</si>
  <si>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</si>
  <si>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</si>
  <si>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</si>
  <si>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</si>
  <si>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</si>
  <si>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</si>
  <si>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</si>
  <si>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</si>
  <si>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</si>
  <si>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</si>
  <si>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</si>
  <si>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</si>
  <si>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</si>
  <si>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</si>
  <si>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</si>
  <si>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</si>
  <si>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</si>
  <si>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</si>
  <si>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</si>
  <si>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</si>
  <si>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</si>
  <si>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</si>
  <si>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</si>
  <si>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</si>
  <si>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</si>
  <si>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</si>
  <si>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</si>
  <si>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</si>
  <si>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</si>
  <si>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</si>
  <si>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</si>
  <si>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</si>
  <si>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</si>
  <si>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</si>
  <si>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</si>
  <si>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</si>
  <si>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</si>
  <si>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</si>
  <si>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</si>
  <si>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</si>
  <si>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</si>
  <si>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</si>
  <si>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</si>
  <si>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</si>
  <si>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</si>
  <si>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</si>
  <si>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</si>
  <si>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</si>
  <si>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</si>
  <si>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</si>
  <si>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</si>
  <si>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</si>
  <si>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</si>
  <si>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</si>
  <si>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</si>
  <si>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</si>
  <si>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</si>
  <si>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</si>
  <si>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</si>
  <si>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</si>
  <si>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</si>
  <si>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</si>
  <si>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</si>
  <si>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</si>
  <si>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</si>
  <si>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</si>
  <si>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</si>
  <si>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</si>
  <si>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</si>
  <si>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</si>
  <si>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</si>
  <si>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</si>
  <si>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</si>
  <si>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</si>
  <si>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</si>
  <si>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</si>
  <si>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</si>
  <si>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</si>
  <si>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</si>
  <si>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</si>
  <si>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</si>
  <si>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</si>
  <si>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</si>
  <si>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</si>
  <si>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</si>
  <si>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</si>
  <si>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</si>
  <si>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</si>
  <si>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</si>
  <si>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</si>
  <si>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</si>
  <si>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</si>
  <si>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</si>
  <si>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</si>
  <si>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</si>
  <si>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</si>
  <si>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</si>
  <si>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</si>
  <si>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</si>
  <si>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</si>
  <si>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</si>
  <si>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</si>
  <si>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</si>
  <si>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</si>
  <si>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</si>
  <si>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</si>
  <si>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</si>
  <si>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</si>
  <si>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</si>
  <si>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</si>
  <si>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</si>
  <si>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</si>
  <si>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</si>
  <si>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</si>
  <si>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</si>
  <si>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</si>
  <si>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</si>
  <si>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</si>
  <si>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</si>
  <si>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</si>
  <si>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</si>
  <si>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</si>
  <si>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</si>
  <si>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</si>
  <si>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</si>
  <si>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</si>
  <si>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</si>
  <si>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</si>
  <si>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</si>
  <si>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</si>
  <si>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</si>
  <si>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</si>
  <si>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</si>
  <si>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</si>
  <si>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</si>
  <si>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</si>
  <si>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</si>
  <si>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</si>
  <si>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</si>
  <si>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</si>
  <si>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</si>
  <si>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</si>
  <si>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</si>
  <si>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</si>
  <si>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</si>
  <si>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</si>
  <si>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</si>
  <si>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</si>
  <si>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</si>
  <si>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</si>
  <si>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</si>
  <si>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</si>
  <si>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</si>
  <si>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</si>
  <si>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</si>
  <si>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</si>
  <si>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</si>
  <si>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</si>
  <si>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</si>
  <si>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</si>
  <si>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</si>
  <si>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</si>
  <si>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</si>
  <si>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</si>
  <si>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</si>
  <si>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</si>
  <si>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</si>
  <si>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</si>
  <si>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</si>
  <si>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</si>
  <si>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</si>
  <si>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</si>
  <si>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</si>
  <si>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</si>
  <si>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</si>
  <si>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</si>
  <si>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</si>
  <si>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</si>
  <si>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</si>
  <si>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</si>
  <si>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</si>
  <si>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</si>
  <si>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</si>
  <si>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</si>
  <si>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</si>
  <si>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</si>
  <si>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</si>
  <si>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</si>
  <si>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</si>
  <si>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</si>
  <si>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</si>
  <si>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</si>
  <si>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</si>
  <si>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</si>
  <si>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</si>
  <si>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</si>
  <si>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</si>
  <si>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</si>
  <si>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</si>
  <si>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</si>
  <si>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</si>
  <si>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</si>
  <si>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</si>
  <si>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</si>
  <si>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</si>
  <si>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</si>
  <si>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</si>
  <si>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</si>
  <si>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</si>
  <si>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</si>
  <si>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</si>
  <si>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</si>
  <si>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</si>
  <si>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</si>
  <si>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</si>
  <si>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</si>
  <si>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</si>
  <si>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</si>
  <si>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</si>
  <si>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</si>
  <si>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</si>
  <si>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</si>
  <si>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</si>
  <si>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</si>
  <si>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</si>
  <si>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</si>
  <si>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</si>
  <si>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</si>
  <si>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</si>
  <si>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</si>
  <si>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</si>
  <si>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</si>
  <si>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</si>
  <si>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</si>
  <si>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</si>
  <si>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</si>
  <si>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</si>
  <si>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</si>
  <si>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</si>
  <si>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</si>
  <si>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</si>
  <si>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</si>
  <si>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</si>
  <si>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</si>
  <si>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</si>
  <si>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</si>
  <si>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</si>
  <si>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</si>
  <si>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</si>
  <si>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</si>
  <si>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</si>
  <si>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</si>
  <si>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</si>
  <si>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</si>
  <si>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</si>
  <si>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</si>
  <si>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</si>
  <si>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</si>
  <si>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</si>
  <si>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</si>
  <si>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</si>
  <si>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</si>
  <si>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</si>
  <si>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</si>
  <si>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</si>
  <si>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</si>
  <si>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</si>
  <si>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</si>
  <si>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</si>
  <si>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</si>
  <si>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</si>
  <si>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</si>
  <si>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</si>
  <si>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</si>
  <si>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</si>
  <si>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</si>
  <si>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</si>
  <si>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</si>
  <si>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</si>
  <si>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</si>
  <si>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</si>
  <si>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</si>
  <si>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</si>
  <si>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</si>
  <si>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</si>
  <si>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</si>
  <si>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</si>
  <si>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</si>
  <si>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</si>
  <si>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</si>
  <si>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</si>
  <si>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</si>
  <si>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</si>
  <si>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</si>
  <si>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</si>
  <si>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</si>
  <si>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</si>
  <si>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</si>
  <si>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</si>
  <si>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</si>
  <si>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</si>
  <si>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</si>
  <si>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</si>
  <si>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</si>
  <si>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</si>
  <si>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</si>
  <si>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</si>
  <si>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</si>
  <si>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</si>
  <si>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</si>
  <si>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</si>
  <si>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</si>
  <si>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</si>
  <si>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</si>
  <si>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</si>
  <si>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</si>
  <si>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</si>
  <si>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</si>
  <si>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</si>
  <si>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</si>
  <si>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</si>
  <si>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</si>
  <si>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</si>
  <si>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</si>
  <si>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</si>
  <si>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</si>
  <si>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</si>
  <si>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</si>
  <si>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</si>
  <si>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</si>
  <si>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</si>
  <si>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</si>
  <si>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</si>
  <si>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</si>
  <si>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</si>
  <si>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</si>
  <si>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</si>
  <si>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</si>
  <si>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</si>
  <si>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</si>
  <si>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</si>
  <si>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</si>
  <si>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</si>
  <si>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</si>
  <si>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</si>
  <si>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</si>
  <si>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</si>
  <si>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</si>
  <si>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</si>
  <si>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</si>
  <si>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</si>
  <si>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</si>
  <si>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</si>
  <si>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</si>
  <si>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</si>
  <si>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</si>
  <si>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</si>
  <si>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</si>
  <si>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</si>
  <si>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</si>
  <si>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</si>
  <si>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</si>
  <si>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</si>
  <si>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</si>
  <si>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</si>
  <si>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</si>
  <si>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</si>
  <si>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</si>
  <si>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</si>
  <si>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</si>
  <si>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</si>
  <si>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</si>
  <si>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</si>
  <si>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</si>
  <si>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</si>
  <si>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</si>
  <si>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</si>
  <si>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</si>
  <si>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</si>
  <si>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</si>
  <si>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</si>
  <si>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</si>
  <si>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</si>
  <si>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</si>
  <si>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</si>
  <si>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</si>
  <si>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</si>
  <si>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</si>
  <si>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</si>
  <si>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</si>
  <si>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</si>
  <si>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</si>
  <si>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</si>
  <si>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</si>
  <si>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</si>
  <si>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</si>
  <si>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</si>
  <si>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</si>
  <si>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</si>
  <si>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</si>
  <si>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</si>
  <si>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</si>
  <si>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</si>
  <si>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</si>
  <si>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</si>
  <si>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</si>
  <si>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</si>
  <si>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</si>
  <si>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</si>
  <si>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</si>
  <si>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</si>
  <si>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</si>
  <si>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</si>
  <si>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</si>
  <si>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</si>
  <si>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</si>
  <si>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</si>
  <si>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</si>
  <si>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</si>
  <si>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</si>
  <si>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</si>
  <si>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</si>
  <si>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</si>
  <si>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</si>
  <si>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</si>
  <si>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</si>
  <si>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</si>
  <si>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</si>
  <si>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</si>
  <si>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</si>
  <si>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</si>
  <si>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</si>
  <si>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</si>
  <si>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</si>
  <si>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</si>
  <si>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</si>
  <si>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</si>
  <si>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</si>
  <si>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</si>
  <si>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</si>
  <si>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</si>
  <si>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</si>
  <si>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</si>
  <si>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</si>
  <si>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</si>
  <si>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</si>
  <si>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</si>
  <si>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</si>
  <si>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</si>
  <si>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</si>
  <si>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</si>
  <si>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</si>
  <si>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</si>
  <si>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</si>
  <si>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</si>
  <si>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</si>
  <si>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</si>
  <si>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</si>
  <si>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</si>
  <si>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</si>
  <si>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</si>
  <si>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</si>
  <si>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</si>
  <si>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</si>
  <si>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</si>
  <si>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</si>
  <si>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</si>
  <si>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</si>
  <si>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</si>
  <si>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</si>
  <si>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</si>
  <si>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</si>
  <si>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</si>
  <si>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</si>
  <si>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</si>
  <si>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</si>
  <si>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</si>
  <si>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</si>
  <si>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</si>
  <si>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</si>
  <si>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</si>
  <si>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</si>
  <si>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</si>
  <si>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</si>
  <si>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</si>
  <si>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</si>
  <si>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</si>
  <si>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</si>
  <si>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</si>
  <si>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</si>
  <si>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</si>
  <si>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</si>
  <si>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</si>
  <si>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</si>
  <si>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</si>
  <si>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</si>
  <si>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</si>
  <si>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</si>
  <si>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</si>
  <si>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</si>
  <si>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</si>
  <si>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</si>
  <si>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</si>
  <si>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</si>
  <si>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</si>
  <si>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</si>
  <si>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</si>
  <si>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</si>
  <si>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</si>
  <si>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</si>
  <si>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</si>
  <si>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</si>
  <si>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</si>
  <si>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</si>
  <si>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</si>
  <si>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</si>
  <si>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</si>
  <si>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</si>
  <si>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</si>
  <si>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</si>
  <si>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</si>
  <si>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</si>
  <si>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</si>
  <si>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</si>
  <si>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</si>
  <si>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</si>
  <si>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</si>
  <si>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</si>
  <si>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</si>
  <si>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</si>
  <si>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</si>
  <si>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</si>
  <si>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</si>
  <si>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</si>
  <si>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</si>
  <si>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</si>
  <si>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</si>
  <si>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</si>
  <si>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</si>
  <si>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</si>
  <si>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</si>
  <si>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</si>
  <si>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</si>
  <si>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</si>
  <si>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</si>
  <si>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</si>
  <si>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</si>
  <si>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</si>
  <si>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</si>
  <si>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</si>
  <si>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</si>
  <si>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</si>
  <si>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</si>
  <si>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</si>
  <si>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</si>
  <si>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</si>
  <si>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</si>
  <si>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</si>
  <si>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</si>
  <si>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</si>
  <si>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</si>
  <si>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</si>
  <si>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</si>
  <si>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</si>
  <si>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</si>
  <si>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</si>
  <si>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</si>
  <si>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</si>
  <si>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</si>
  <si>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</si>
  <si>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</si>
  <si>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</si>
  <si>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</si>
  <si>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</si>
  <si>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</si>
  <si>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</si>
  <si>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</si>
  <si>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</si>
  <si>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</si>
  <si>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</si>
  <si>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</si>
  <si>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</si>
  <si>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</si>
  <si>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</si>
  <si>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</si>
  <si>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</si>
  <si>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</si>
  <si>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</si>
  <si>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</si>
  <si>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</si>
  <si>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</si>
  <si>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</si>
  <si>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</si>
  <si>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</si>
  <si>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</si>
  <si>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</si>
  <si>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</si>
  <si>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</si>
  <si>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</si>
  <si>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</si>
  <si>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</si>
  <si>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</si>
  <si>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</si>
  <si>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</si>
  <si>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</si>
  <si>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</si>
  <si>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</si>
  <si>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</si>
  <si>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</si>
  <si>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</si>
  <si>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</si>
  <si>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</si>
  <si>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</si>
  <si>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</si>
  <si>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</si>
  <si>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</si>
  <si>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</si>
  <si>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</si>
  <si>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</si>
  <si>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</si>
  <si>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</si>
  <si>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</si>
  <si>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</si>
  <si>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</si>
  <si>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</si>
  <si>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</si>
  <si>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</si>
  <si>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</si>
  <si>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</si>
  <si>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</si>
  <si>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</si>
  <si>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</si>
  <si>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</si>
  <si>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</si>
  <si>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</si>
  <si>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</si>
  <si>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</si>
  <si>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</si>
  <si>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</si>
  <si>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</si>
  <si>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</si>
  <si>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</si>
  <si>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</si>
  <si>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</si>
  <si>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</si>
  <si>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</si>
  <si>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</si>
  <si>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</si>
  <si>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</si>
  <si>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</si>
  <si>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</si>
  <si>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</si>
  <si>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</si>
  <si>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</si>
  <si>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</si>
  <si>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</si>
  <si>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</si>
  <si>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</si>
  <si>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</si>
  <si>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</si>
  <si>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</si>
  <si>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</si>
  <si>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</si>
  <si>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</si>
  <si>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</si>
  <si>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</si>
  <si>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</si>
  <si>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</si>
  <si>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</si>
  <si>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</si>
  <si>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</si>
  <si>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</si>
  <si>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</si>
  <si>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</si>
  <si>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</si>
  <si>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</si>
  <si>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</si>
  <si>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</si>
  <si>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</si>
  <si>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</si>
  <si>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</si>
  <si>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</si>
  <si>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</si>
  <si>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</si>
  <si>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</si>
  <si>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</si>
  <si>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</si>
  <si>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</si>
  <si>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</si>
  <si>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</si>
  <si>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</si>
  <si>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</si>
  <si>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</si>
  <si>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</si>
  <si>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</si>
  <si>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</si>
  <si>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</si>
  <si>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</si>
  <si>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</si>
  <si>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</si>
  <si>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</si>
  <si>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</si>
  <si>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</si>
  <si>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</si>
  <si>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</si>
  <si>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</si>
  <si>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</si>
  <si>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</si>
  <si>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</si>
  <si>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</si>
  <si>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</si>
  <si>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</si>
  <si>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</si>
  <si>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</si>
  <si>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</si>
  <si>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</si>
  <si>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</si>
  <si>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</si>
  <si>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</si>
  <si>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</si>
  <si>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</si>
  <si>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</si>
  <si>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</si>
  <si>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</si>
  <si>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</si>
  <si>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</si>
  <si>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</si>
  <si>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</si>
  <si>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</si>
  <si>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</si>
  <si>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</si>
  <si>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</si>
  <si>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</si>
  <si>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</si>
  <si>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</si>
  <si>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</si>
  <si>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</si>
  <si>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</si>
  <si>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</si>
  <si>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</si>
  <si>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</si>
  <si>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</si>
  <si>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</si>
  <si>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</si>
  <si>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</si>
  <si>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</si>
  <si>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</si>
  <si>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</si>
  <si>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</si>
  <si>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</si>
  <si>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</si>
  <si>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</si>
  <si>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</si>
  <si>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</si>
  <si>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</si>
  <si>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</si>
  <si>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</si>
  <si>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</si>
  <si>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</si>
  <si>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</si>
  <si>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</si>
  <si>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</si>
  <si>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</si>
  <si>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</si>
  <si>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</si>
  <si>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</si>
  <si>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</si>
  <si>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</si>
  <si>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</si>
  <si>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</si>
  <si>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</si>
  <si>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</si>
  <si>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</si>
  <si>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</si>
  <si>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</si>
  <si>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</si>
  <si>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</si>
  <si>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</si>
  <si>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</si>
  <si>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</si>
  <si>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</si>
  <si>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</si>
  <si>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</si>
  <si>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</si>
  <si>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</si>
  <si>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</si>
  <si>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</si>
  <si>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</si>
  <si>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</si>
  <si>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</si>
  <si>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</si>
  <si>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</si>
  <si>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</si>
  <si>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</si>
  <si>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</si>
  <si>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</si>
  <si>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</si>
  <si>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</si>
  <si>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</si>
  <si>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</si>
  <si>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</si>
  <si>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</si>
  <si>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</si>
  <si>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</si>
  <si>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</si>
  <si>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</si>
  <si>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</si>
  <si>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</si>
  <si>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</si>
  <si>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</si>
  <si>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</si>
  <si>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</si>
  <si>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</si>
  <si>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</si>
  <si>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</si>
  <si>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</si>
  <si>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</si>
  <si>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</si>
  <si>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</si>
  <si>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</si>
  <si>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</si>
  <si>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</si>
  <si>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</si>
  <si>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</si>
  <si>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</si>
  <si>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</si>
  <si>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</si>
  <si>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</si>
  <si>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</si>
  <si>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</si>
  <si>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</si>
  <si>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</si>
  <si>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</si>
  <si>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</si>
  <si>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</si>
  <si>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</si>
  <si>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</si>
  <si>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</si>
  <si>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</si>
  <si>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</si>
  <si>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</si>
  <si>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</si>
  <si>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</si>
  <si>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</si>
  <si>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</si>
  <si>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</si>
  <si>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</si>
  <si>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</si>
  <si>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</si>
  <si>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</si>
  <si>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</si>
  <si>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</si>
  <si>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</si>
  <si>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</si>
  <si>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</si>
  <si>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</si>
  <si>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</si>
  <si>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</si>
  <si>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</si>
  <si>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</si>
  <si>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</si>
  <si>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</si>
  <si>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</si>
  <si>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</si>
  <si>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</si>
  <si>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</si>
  <si>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</si>
  <si>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</si>
  <si>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</si>
  <si>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</si>
  <si>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</si>
  <si>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</si>
  <si>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</si>
  <si>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</si>
  <si>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</si>
  <si>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</si>
  <si>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</si>
  <si>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</si>
  <si>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</si>
  <si>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</si>
  <si>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</si>
  <si>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</si>
  <si>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</si>
  <si>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</si>
  <si>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</si>
  <si>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</si>
  <si>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</si>
  <si>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</si>
  <si>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</si>
  <si>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</si>
  <si>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</si>
  <si>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</si>
  <si>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</si>
  <si>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</si>
  <si>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</si>
  <si>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</si>
  <si>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</si>
  <si>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</si>
  <si>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</si>
  <si>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</si>
  <si>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</si>
  <si>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</si>
  <si>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</si>
  <si>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</si>
  <si>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</si>
  <si>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</si>
  <si>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</si>
  <si>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</si>
  <si>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</si>
  <si>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</si>
  <si>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</si>
  <si>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</si>
  <si>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</si>
  <si>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</si>
  <si>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</si>
  <si>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</si>
  <si>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</si>
  <si>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</si>
  <si>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</si>
  <si>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</si>
  <si>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</si>
  <si>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</si>
  <si>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</si>
  <si>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</si>
  <si>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</si>
  <si>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</si>
  <si>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</si>
  <si>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</si>
  <si>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</si>
  <si>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</si>
  <si>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</si>
  <si>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</si>
  <si>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</si>
  <si>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</si>
  <si>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</si>
  <si>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</si>
  <si>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</si>
  <si>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</si>
  <si>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</si>
  <si>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</si>
  <si>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</si>
  <si>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</si>
  <si>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</si>
  <si>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</si>
  <si>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</si>
  <si>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</si>
  <si>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</si>
  <si>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</si>
  <si>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</si>
  <si>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</si>
  <si>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</si>
  <si>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</si>
  <si>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</si>
  <si>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</si>
  <si>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</si>
  <si>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</si>
  <si>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</si>
  <si>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</si>
  <si>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</si>
  <si>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</si>
  <si>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</si>
  <si>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</si>
  <si>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</si>
  <si>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</si>
  <si>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</si>
  <si>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</si>
  <si>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</si>
  <si>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</si>
  <si>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</si>
  <si>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</si>
  <si>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</si>
  <si>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</si>
  <si>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</si>
  <si>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</si>
  <si>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</si>
  <si>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</si>
  <si>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</si>
  <si>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</si>
  <si>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</si>
  <si>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</si>
  <si>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</si>
  <si>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</si>
  <si>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</si>
  <si>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</si>
  <si>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</si>
  <si>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</si>
  <si>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</si>
  <si>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</si>
  <si>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</si>
  <si>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</si>
  <si>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</si>
  <si>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</si>
  <si>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</si>
  <si>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</si>
  <si>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</si>
  <si>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</si>
  <si>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</si>
  <si>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</si>
  <si>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</si>
  <si>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</si>
  <si>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</si>
  <si>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</si>
  <si>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</si>
  <si>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</si>
  <si>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</si>
  <si>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</si>
  <si>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</si>
  <si>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</si>
  <si>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</si>
  <si>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</si>
  <si>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</si>
  <si>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</si>
  <si>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</si>
  <si>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</si>
  <si>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</si>
  <si>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</si>
  <si>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</si>
  <si>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</si>
  <si>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</si>
  <si>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</si>
  <si>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</si>
  <si>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</si>
  <si>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</si>
  <si>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</si>
  <si>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</si>
  <si>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</si>
  <si>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</si>
  <si>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</si>
  <si>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</si>
  <si>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</si>
  <si>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</si>
  <si>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</si>
  <si>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</si>
  <si>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</si>
  <si>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</si>
  <si>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</si>
  <si>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</si>
  <si>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</si>
  <si>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</si>
  <si>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</si>
  <si>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</si>
  <si>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</si>
  <si>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</si>
  <si>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</si>
  <si>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</si>
  <si>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</si>
  <si>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</si>
  <si>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</si>
  <si>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</si>
  <si>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</si>
  <si>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</si>
  <si>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</si>
  <si>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</si>
  <si>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</si>
  <si>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</si>
  <si>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</si>
  <si>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</si>
  <si>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</si>
  <si>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</si>
  <si>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</si>
  <si>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</si>
  <si>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</si>
  <si>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</si>
  <si>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</si>
  <si>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</si>
  <si>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</si>
  <si>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</si>
  <si>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</si>
  <si>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</si>
  <si>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</si>
  <si>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</si>
  <si>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</si>
  <si>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</si>
  <si>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</si>
  <si>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</si>
  <si>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</si>
  <si>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</si>
  <si>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</si>
  <si>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</si>
  <si>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</si>
  <si>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</si>
  <si>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</si>
  <si>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</si>
  <si>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</si>
  <si>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</si>
  <si>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</si>
  <si>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</si>
  <si>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</si>
  <si>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</si>
  <si>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</si>
  <si>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</si>
  <si>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</si>
  <si>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</si>
  <si>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</si>
  <si>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</si>
  <si>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</si>
  <si>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</si>
  <si>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</si>
  <si>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</si>
  <si>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</si>
  <si>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</si>
  <si>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</si>
  <si>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</si>
  <si>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</si>
  <si>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</si>
  <si>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</si>
  <si>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</si>
  <si>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</si>
  <si>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</si>
  <si>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</si>
  <si>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</si>
  <si>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</si>
  <si>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</si>
  <si>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</si>
  <si>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</si>
  <si>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</si>
  <si>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</si>
  <si>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</si>
  <si>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</si>
  <si>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</si>
  <si>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</si>
  <si>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</si>
  <si>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</si>
  <si>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</si>
  <si>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</si>
  <si>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</si>
  <si>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</si>
  <si>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</si>
  <si>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</si>
  <si>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</si>
  <si>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</si>
  <si>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</si>
  <si>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</si>
  <si>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</si>
  <si>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</si>
  <si>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</si>
  <si>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</si>
  <si>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</si>
  <si>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</si>
  <si>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</si>
  <si>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</si>
  <si>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</si>
  <si>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</si>
  <si>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</si>
  <si>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</si>
  <si>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</si>
  <si>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</si>
  <si>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</si>
  <si>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</si>
  <si>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</si>
  <si>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</si>
  <si>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</si>
  <si>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</si>
  <si>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</si>
  <si>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</si>
  <si>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</si>
  <si>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</si>
  <si>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</si>
  <si>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</si>
  <si>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</si>
  <si>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</si>
  <si>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</si>
  <si>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</si>
  <si>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</si>
  <si>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</si>
  <si>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</si>
  <si>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</si>
  <si>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</si>
  <si>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</si>
  <si>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</si>
  <si>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</si>
  <si>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</si>
  <si>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</si>
  <si>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</si>
  <si>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</si>
  <si>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</si>
  <si>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</si>
  <si>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</si>
  <si>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</si>
  <si>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</si>
  <si>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</si>
  <si>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</si>
  <si>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</si>
  <si>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</si>
  <si>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</si>
  <si>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</si>
  <si>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</si>
  <si>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</si>
  <si>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</si>
  <si>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</si>
  <si>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</si>
  <si>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</si>
  <si>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</si>
  <si>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</si>
  <si>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</si>
  <si>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</si>
  <si>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</si>
  <si>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</si>
  <si>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</si>
  <si>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</si>
  <si>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</si>
  <si>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</si>
  <si>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</si>
  <si>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</si>
  <si>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</si>
  <si>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</si>
  <si>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</si>
  <si>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</si>
  <si>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</si>
  <si>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</si>
  <si>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</si>
  <si>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</si>
  <si>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</si>
  <si>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</si>
  <si>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</si>
  <si>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</si>
  <si>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</si>
  <si>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</si>
  <si>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</si>
  <si>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</si>
  <si>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</si>
  <si>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</si>
  <si>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</si>
  <si>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</si>
  <si>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</si>
  <si>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</si>
  <si>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</si>
  <si>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</si>
  <si>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</si>
  <si>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</si>
  <si>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</si>
  <si>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</si>
  <si>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</si>
  <si>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</si>
  <si>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</si>
  <si>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</si>
  <si>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</si>
  <si>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</si>
  <si>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</si>
  <si>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</si>
  <si>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</si>
  <si>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</si>
  <si>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</si>
  <si>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</si>
  <si>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</si>
  <si>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</si>
  <si>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</si>
  <si>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</si>
  <si>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</si>
  <si>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</si>
  <si>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</si>
  <si>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</si>
  <si>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</si>
  <si>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</si>
  <si>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</si>
  <si>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</si>
  <si>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</si>
  <si>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</si>
  <si>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</si>
  <si>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</si>
  <si>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</si>
  <si>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</si>
  <si>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</si>
  <si>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</si>
  <si>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</si>
  <si>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</si>
  <si>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</si>
  <si>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</si>
  <si>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</si>
  <si>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</si>
  <si>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</si>
  <si>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</si>
  <si>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</si>
  <si>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</si>
  <si>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</si>
  <si>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</si>
  <si>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</si>
  <si>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</si>
  <si>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</si>
  <si>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</si>
  <si>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</si>
  <si>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</si>
  <si>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</si>
  <si>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</si>
  <si>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</si>
  <si>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</si>
  <si>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</si>
  <si>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</si>
  <si>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</si>
  <si>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</si>
  <si>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</si>
  <si>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</si>
  <si>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</si>
  <si>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</si>
  <si>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</si>
  <si>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</si>
  <si>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</si>
  <si>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</si>
  <si>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</si>
  <si>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</si>
  <si>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</si>
  <si>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</si>
  <si>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</si>
  <si>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</si>
  <si>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</si>
  <si>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</si>
  <si>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</si>
  <si>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</si>
  <si>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</si>
  <si>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</si>
  <si>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</si>
  <si>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</si>
  <si>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</si>
  <si>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</si>
  <si>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</si>
  <si>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</si>
  <si>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</si>
  <si>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</si>
  <si>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</si>
  <si>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</si>
  <si>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</si>
  <si>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</si>
  <si>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</si>
  <si>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</si>
  <si>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</si>
  <si>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</si>
  <si>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</si>
  <si>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</si>
  <si>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</si>
  <si>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</si>
  <si>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</si>
  <si>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</si>
  <si>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</si>
  <si>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</si>
  <si>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</si>
  <si>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</si>
  <si>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</si>
  <si>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</si>
  <si>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</si>
  <si>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</si>
  <si>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</si>
  <si>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</si>
  <si>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</si>
  <si>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</si>
  <si>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</si>
  <si>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</si>
  <si>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</si>
  <si>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</si>
  <si>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</si>
  <si>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</si>
  <si>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</si>
  <si>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</si>
  <si>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</si>
  <si>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</si>
  <si>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</si>
  <si>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</si>
  <si>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</si>
  <si>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</si>
  <si>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</si>
  <si>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</si>
  <si>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</si>
  <si>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</si>
  <si>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</si>
  <si>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</si>
  <si>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</si>
  <si>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</si>
  <si>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</si>
  <si>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</si>
  <si>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</si>
  <si>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</si>
  <si>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</si>
  <si>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</si>
  <si>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</si>
  <si>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</si>
  <si>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</si>
  <si>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</si>
  <si>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</si>
  <si>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</si>
  <si>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</si>
  <si>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</si>
  <si>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</si>
  <si>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</si>
  <si>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</si>
  <si>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</si>
  <si>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</si>
  <si>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</si>
  <si>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</si>
  <si>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</si>
  <si>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</si>
  <si>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</si>
  <si>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</si>
  <si>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</si>
  <si>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</si>
  <si>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</si>
  <si>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</si>
  <si>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</si>
  <si>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</si>
  <si>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</si>
  <si>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</si>
  <si>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</si>
  <si>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</si>
  <si>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</si>
  <si>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</si>
  <si>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</si>
  <si>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</si>
  <si>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</si>
  <si>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</si>
  <si>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</si>
  <si>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</si>
  <si>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</si>
  <si>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</si>
  <si>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</si>
  <si>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</si>
  <si>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</si>
  <si>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</si>
  <si>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</si>
  <si>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</si>
  <si>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</si>
  <si>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</si>
  <si>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</si>
  <si>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</si>
  <si>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</si>
  <si>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</si>
  <si>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</si>
  <si>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</si>
  <si>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</si>
  <si>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</si>
  <si>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</si>
  <si>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</si>
  <si>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</si>
  <si>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</si>
  <si>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</si>
  <si>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</si>
  <si>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</si>
  <si>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</si>
  <si>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</si>
  <si>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</si>
  <si>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</si>
  <si>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</si>
  <si>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</si>
  <si>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</si>
  <si>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</si>
  <si>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</si>
  <si>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</si>
  <si>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</si>
  <si>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</si>
  <si>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</si>
  <si>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</si>
  <si>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</si>
  <si>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</si>
  <si>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</si>
  <si>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</si>
  <si>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</si>
  <si>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</si>
  <si>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</si>
  <si>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</si>
  <si>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</si>
  <si>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</si>
  <si>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</si>
  <si>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</si>
  <si>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</si>
  <si>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</si>
  <si>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</si>
  <si>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</si>
  <si>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</si>
  <si>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</si>
  <si>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</si>
  <si>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</si>
  <si>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</si>
  <si>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</si>
  <si>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</si>
  <si>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</si>
  <si>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</si>
  <si>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</si>
  <si>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</si>
  <si>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</si>
  <si>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</si>
  <si>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</si>
  <si>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</si>
  <si>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</si>
  <si>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</si>
  <si>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</si>
  <si>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</si>
  <si>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</si>
  <si>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</si>
  <si>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</si>
  <si>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</si>
  <si>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</si>
  <si>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</si>
  <si>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</si>
  <si>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</si>
  <si>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</si>
  <si>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</si>
  <si>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</si>
  <si>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</si>
  <si>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</si>
  <si>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</si>
  <si>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</si>
  <si>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</si>
  <si>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</si>
  <si>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</si>
  <si>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</si>
  <si>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</si>
  <si>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</si>
  <si>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</si>
  <si>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</si>
  <si>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</si>
  <si>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</si>
  <si>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</si>
  <si>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</si>
  <si>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</si>
  <si>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</si>
  <si>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</si>
  <si>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</si>
  <si>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</si>
  <si>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</si>
  <si>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</si>
  <si>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</si>
  <si>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</si>
  <si>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</si>
  <si>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</si>
  <si>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</si>
  <si>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</si>
  <si>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</si>
  <si>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</si>
  <si>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</si>
  <si>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</si>
  <si>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</si>
  <si>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</si>
  <si>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</si>
  <si>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</si>
  <si>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</si>
  <si>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</si>
  <si>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</si>
  <si>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</si>
  <si>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</si>
  <si>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</si>
  <si>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</si>
  <si>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</si>
  <si>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</si>
  <si>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</si>
  <si>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</si>
  <si>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</si>
  <si>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</si>
  <si>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</si>
  <si>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</si>
  <si>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</si>
  <si>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</si>
  <si>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</si>
  <si>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</si>
  <si>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</si>
  <si>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</si>
  <si>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</si>
  <si>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</si>
  <si>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</si>
  <si>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</si>
  <si>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</si>
  <si>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</si>
  <si>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</si>
  <si>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</si>
  <si>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</si>
  <si>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</si>
  <si>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</si>
  <si>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</si>
  <si>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</si>
  <si>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</si>
  <si>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</si>
  <si>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</si>
  <si>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</si>
  <si>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</si>
  <si>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</si>
  <si>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</si>
  <si>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</si>
  <si>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</si>
  <si>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</si>
  <si>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</si>
  <si>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</si>
  <si>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</si>
  <si>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</si>
  <si>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</si>
  <si>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</si>
  <si>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</si>
  <si>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</si>
  <si>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</si>
  <si>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</si>
  <si>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</si>
  <si>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</si>
  <si>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</si>
  <si>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</si>
  <si>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</si>
  <si>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</si>
  <si>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</si>
  <si>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</si>
  <si>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</si>
  <si>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</si>
  <si>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</si>
  <si>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</si>
  <si>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</si>
  <si>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</si>
  <si>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</si>
  <si>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</si>
  <si>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</si>
  <si>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</si>
  <si>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</si>
  <si>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</si>
  <si>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</si>
  <si>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</si>
  <si>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</si>
  <si>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</si>
  <si>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</si>
  <si>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</si>
  <si>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</si>
  <si>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</si>
  <si>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</si>
  <si>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</si>
  <si>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</si>
  <si>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</si>
  <si>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</si>
  <si>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</si>
  <si>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</si>
  <si>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</si>
  <si>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</si>
  <si>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</si>
  <si>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</si>
  <si>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</si>
  <si>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</si>
  <si>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</si>
  <si>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</si>
  <si>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</si>
  <si>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</si>
  <si>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</si>
  <si>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</si>
  <si>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</si>
  <si>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</si>
  <si>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</si>
  <si>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</si>
  <si>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</si>
  <si>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</si>
  <si>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</si>
  <si>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</si>
  <si>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</si>
  <si>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</si>
  <si>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</si>
  <si>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</si>
  <si>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</si>
  <si>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</si>
  <si>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</si>
  <si>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</si>
  <si>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</si>
  <si>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</si>
  <si>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</si>
  <si>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</si>
  <si>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</si>
  <si>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</si>
  <si>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</si>
  <si>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</si>
  <si>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</si>
  <si>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</si>
  <si>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</si>
  <si>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</si>
  <si>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</si>
  <si>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</si>
  <si>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</si>
  <si>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</si>
  <si>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</si>
  <si>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</si>
  <si>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</si>
  <si>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</si>
  <si>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</si>
  <si>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</si>
  <si>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</si>
  <si>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</si>
  <si>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</si>
  <si>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</si>
  <si>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</si>
  <si>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</si>
  <si>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</si>
  <si>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</si>
  <si>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</si>
  <si>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</si>
  <si>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</si>
  <si>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</si>
  <si>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</si>
  <si>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</si>
  <si>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</si>
  <si>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</si>
  <si>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</si>
  <si>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</si>
  <si>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</si>
  <si>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</si>
  <si>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</si>
  <si>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</si>
  <si>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</si>
  <si>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</si>
  <si>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</si>
  <si>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</si>
  <si>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</si>
  <si>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</si>
  <si>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</si>
  <si>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</si>
  <si>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</si>
  <si>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</si>
  <si>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</si>
  <si>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</si>
  <si>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</si>
  <si>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</si>
  <si>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</si>
  <si>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</si>
  <si>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</si>
  <si>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</si>
  <si>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</si>
  <si>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</si>
  <si>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</si>
  <si>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</si>
  <si>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</si>
  <si>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</si>
  <si>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</si>
  <si>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</si>
  <si>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</si>
  <si>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</si>
  <si>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</si>
  <si>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</si>
  <si>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</si>
  <si>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</si>
  <si>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</si>
  <si>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</si>
  <si>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</si>
  <si>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</si>
  <si>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</si>
  <si>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</si>
  <si>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</si>
  <si>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</si>
  <si>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</si>
  <si>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</si>
  <si>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</si>
  <si>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</si>
  <si>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</si>
  <si>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</si>
  <si>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</si>
  <si>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</si>
  <si>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</si>
  <si>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</si>
  <si>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</si>
  <si>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</si>
  <si>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</si>
  <si>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</si>
  <si>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</si>
  <si>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</si>
  <si>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</si>
  <si>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</si>
  <si>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</si>
  <si>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</si>
  <si>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</si>
  <si>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</si>
  <si>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</si>
  <si>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</si>
  <si>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</si>
  <si>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</si>
  <si>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</si>
  <si>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</si>
  <si>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</si>
  <si>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</si>
  <si>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</si>
  <si>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</si>
  <si>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</si>
  <si>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</si>
  <si>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</si>
  <si>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</si>
  <si>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</si>
  <si>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</si>
  <si>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</si>
  <si>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</si>
  <si>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</si>
  <si>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</si>
  <si>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</si>
  <si>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</si>
  <si>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</si>
  <si>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</si>
  <si>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</si>
  <si>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</si>
  <si>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</si>
  <si>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</si>
  <si>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</si>
  <si>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</si>
  <si>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</si>
  <si>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</si>
  <si>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</si>
  <si>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</si>
  <si>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</si>
  <si>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</si>
  <si>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</si>
  <si>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</si>
  <si>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</si>
  <si>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</si>
  <si>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</si>
  <si>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</si>
  <si>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</si>
  <si>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</si>
  <si>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</si>
  <si>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</si>
  <si>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</si>
  <si>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</si>
  <si>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</si>
  <si>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</si>
  <si>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</si>
  <si>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</si>
  <si>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</si>
  <si>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</si>
  <si>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</si>
  <si>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</si>
  <si>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</si>
  <si>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</si>
  <si>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</si>
  <si>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</si>
  <si>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</si>
  <si>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</si>
  <si>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</si>
  <si>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</si>
  <si>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</si>
  <si>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</si>
  <si>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</si>
  <si>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</si>
  <si>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</si>
  <si>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</si>
  <si>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</si>
  <si>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</si>
  <si>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</si>
  <si>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</si>
  <si>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</si>
  <si>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</si>
  <si>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</si>
  <si>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</si>
  <si>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</si>
  <si>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</si>
  <si>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</si>
  <si>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</si>
  <si>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</si>
  <si>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</si>
  <si>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</si>
  <si>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</si>
  <si>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</si>
  <si>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</si>
  <si>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</si>
  <si>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</si>
  <si>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</si>
  <si>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</si>
  <si>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</si>
  <si>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</si>
  <si>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</si>
  <si>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</si>
  <si>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</si>
  <si>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</si>
  <si>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</si>
  <si>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</si>
  <si>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</si>
  <si>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</si>
  <si>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</si>
  <si>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</si>
  <si>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</si>
  <si>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</si>
  <si>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</si>
  <si>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</si>
  <si>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</si>
  <si>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</si>
  <si>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</si>
  <si>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</si>
  <si>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</si>
  <si>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</si>
  <si>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</si>
  <si>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</si>
  <si>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</si>
  <si>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</si>
  <si>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</si>
  <si>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</si>
  <si>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</si>
  <si>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</si>
  <si>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</si>
  <si>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</si>
  <si>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</si>
  <si>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</si>
  <si>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</si>
  <si>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</si>
  <si>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</si>
  <si>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</si>
  <si>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</si>
  <si>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</si>
  <si>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</si>
  <si>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</si>
  <si>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</si>
  <si>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</si>
  <si>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</si>
  <si>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</si>
  <si>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</si>
  <si>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</si>
  <si>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</si>
  <si>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</si>
  <si>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</si>
  <si>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</si>
  <si>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</si>
  <si>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</si>
  <si>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</si>
  <si>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</si>
  <si>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</si>
  <si>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</si>
  <si>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</si>
  <si>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</si>
  <si>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</si>
  <si>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</si>
  <si>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</si>
  <si>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</si>
  <si>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</si>
  <si>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</si>
  <si>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</si>
  <si>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</si>
  <si>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</si>
  <si>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</si>
  <si>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</si>
  <si>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</si>
  <si>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</si>
  <si>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</si>
  <si>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</si>
  <si>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</si>
  <si>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</si>
  <si>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</si>
  <si>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</si>
  <si>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</si>
  <si>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</si>
  <si>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</si>
  <si>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</si>
  <si>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</si>
  <si>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</si>
  <si>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</si>
  <si>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</si>
  <si>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</si>
  <si>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</si>
  <si>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</si>
  <si>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</si>
  <si>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</si>
  <si>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</si>
  <si>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</si>
  <si>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</si>
  <si>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</si>
  <si>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</si>
  <si>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</si>
  <si>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</si>
  <si>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</si>
  <si>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</si>
  <si>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</si>
  <si>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</si>
  <si>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</si>
  <si>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</si>
  <si>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</si>
  <si>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</si>
  <si>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</si>
  <si>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</si>
  <si>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</si>
  <si>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</si>
  <si>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</si>
  <si>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</si>
  <si>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</si>
  <si>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</si>
  <si>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</si>
  <si>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</si>
  <si>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</si>
  <si>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</si>
  <si>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</si>
  <si>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</si>
  <si>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</si>
  <si>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</si>
  <si>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</si>
  <si>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</si>
  <si>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</si>
  <si>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</si>
  <si>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</si>
  <si>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</si>
  <si>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</si>
  <si>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</si>
  <si>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</si>
  <si>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</si>
  <si>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</si>
  <si>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</si>
  <si>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</si>
  <si>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</si>
  <si>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</si>
  <si>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</si>
  <si>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</si>
  <si>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</si>
  <si>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</si>
  <si>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</si>
  <si>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</si>
  <si>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</si>
  <si>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</si>
  <si>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</si>
  <si>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</si>
  <si>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</si>
  <si>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</si>
  <si>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</si>
  <si>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</si>
  <si>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</si>
  <si>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</si>
  <si>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</si>
  <si>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</si>
  <si>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</si>
  <si>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</si>
  <si>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</si>
  <si>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</si>
  <si>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</si>
  <si>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</si>
  <si>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</si>
  <si>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</si>
  <si>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</si>
  <si>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</si>
  <si>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</si>
  <si>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</si>
  <si>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</si>
  <si>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</si>
  <si>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</si>
  <si>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</si>
  <si>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</si>
  <si>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</si>
  <si>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</si>
  <si>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</si>
  <si>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</si>
  <si>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</si>
  <si>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</si>
  <si>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</si>
  <si>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</si>
  <si>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</si>
  <si>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</si>
  <si>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</si>
  <si>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</si>
  <si>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</si>
  <si>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</si>
  <si>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</si>
  <si>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</si>
  <si>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</si>
  <si>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</si>
  <si>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</si>
  <si>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</si>
  <si>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</si>
  <si>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</si>
  <si>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</si>
  <si>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</si>
  <si>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</si>
  <si>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</si>
  <si>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</si>
  <si>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</si>
  <si>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</si>
  <si>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</si>
  <si>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</si>
  <si>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</si>
  <si>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</si>
  <si>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</si>
  <si>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</si>
  <si>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</si>
  <si>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</si>
  <si>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</si>
  <si>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</si>
  <si>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</si>
  <si>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</si>
  <si>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</si>
  <si>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</si>
  <si>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</si>
  <si>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</si>
  <si>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</si>
  <si>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</si>
  <si>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</si>
  <si>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</si>
  <si>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</si>
  <si>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</si>
  <si>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</si>
  <si>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</si>
  <si>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</si>
  <si>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</si>
  <si>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</si>
  <si>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</si>
  <si>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</si>
  <si>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</si>
  <si>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</si>
  <si>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</si>
  <si>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</si>
  <si>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</si>
  <si>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</si>
  <si>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</si>
  <si>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</si>
  <si>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</si>
  <si>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</si>
  <si>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</si>
  <si>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</si>
  <si>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</si>
  <si>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</si>
  <si>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</si>
  <si>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</si>
  <si>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</si>
  <si>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</si>
  <si>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</si>
  <si>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</si>
  <si>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</si>
  <si>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</si>
  <si>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</si>
  <si>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</si>
  <si>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</si>
  <si>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</si>
  <si>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</si>
  <si>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</si>
  <si>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</si>
  <si>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</si>
  <si>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</si>
  <si>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</si>
  <si>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</si>
  <si>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</si>
  <si>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</si>
  <si>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</si>
  <si>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</si>
  <si>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</si>
  <si>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</si>
  <si>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</si>
  <si>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</si>
  <si>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</si>
  <si>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</si>
  <si>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</si>
  <si>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</si>
  <si>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</si>
  <si>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</si>
  <si>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</si>
  <si>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</si>
  <si>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</si>
  <si>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</si>
  <si>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</si>
  <si>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</si>
  <si>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</si>
  <si>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</si>
  <si>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</si>
  <si>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</si>
  <si>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</si>
  <si>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</si>
  <si>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</si>
  <si>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</si>
  <si>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</si>
  <si>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</si>
  <si>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</si>
  <si>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</si>
  <si>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</si>
  <si>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</si>
  <si>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</si>
  <si>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</si>
  <si>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</si>
  <si>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</si>
  <si>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</si>
  <si>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</si>
  <si>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</si>
  <si>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</si>
  <si>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</si>
  <si>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</si>
  <si>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</si>
  <si>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</si>
  <si>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</si>
  <si>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</si>
  <si>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</si>
  <si>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</si>
  <si>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</si>
  <si>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</si>
  <si>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</si>
  <si>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</si>
  <si>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</si>
  <si>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</si>
  <si>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</si>
  <si>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</si>
  <si>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</si>
  <si>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</si>
  <si>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</si>
  <si>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</si>
  <si>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</si>
  <si>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</si>
  <si>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</si>
  <si>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</si>
  <si>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</si>
  <si>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</si>
  <si>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</si>
  <si>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</si>
  <si>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</si>
  <si>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</si>
  <si>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</si>
  <si>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</si>
  <si>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</si>
  <si>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</si>
  <si>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</si>
  <si>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</si>
  <si>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</si>
  <si>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</si>
  <si>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</si>
  <si>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</si>
  <si>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</si>
  <si>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</si>
  <si>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</si>
  <si>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</si>
  <si>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</si>
  <si>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</si>
  <si>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</si>
  <si>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</si>
  <si>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</si>
  <si>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</si>
  <si>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</si>
  <si>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</si>
  <si>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</si>
  <si>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</si>
  <si>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</si>
  <si>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</si>
  <si>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</si>
  <si>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</si>
  <si>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</si>
  <si>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</si>
  <si>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</si>
  <si>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</si>
  <si>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</si>
  <si>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</si>
  <si>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</si>
  <si>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</si>
  <si>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</si>
  <si>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</si>
  <si>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</si>
  <si>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</si>
  <si>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</si>
  <si>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</si>
  <si>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</si>
  <si>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</si>
  <si>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</si>
  <si>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</si>
  <si>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</si>
  <si>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</si>
  <si>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</si>
  <si>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</si>
  <si>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</si>
  <si>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</si>
  <si>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</si>
  <si>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</si>
  <si>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</si>
  <si>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</si>
  <si>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</si>
  <si>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</si>
  <si>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</si>
  <si>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</si>
  <si>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</si>
  <si>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</si>
  <si>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</si>
  <si>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</si>
  <si>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</si>
  <si>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</si>
  <si>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</si>
  <si>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</si>
  <si>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</si>
  <si>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</si>
  <si>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</si>
  <si>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</si>
  <si>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</si>
  <si>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</si>
  <si>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</si>
  <si>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</si>
  <si>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</si>
  <si>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</si>
  <si>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</si>
  <si>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</si>
  <si>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</si>
  <si>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</si>
  <si>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</si>
  <si>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</si>
  <si>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</si>
  <si>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</si>
  <si>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</si>
  <si>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</si>
  <si>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</si>
  <si>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</si>
  <si>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</si>
  <si>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</si>
  <si>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</si>
  <si>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</si>
  <si>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</si>
  <si>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</si>
  <si>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</si>
  <si>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</si>
  <si>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</si>
  <si>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</si>
  <si>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</si>
  <si>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</si>
  <si>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</si>
  <si>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</si>
  <si>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</si>
  <si>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</si>
  <si>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</si>
  <si>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</si>
  <si>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</si>
  <si>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</si>
  <si>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</si>
  <si>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</si>
  <si>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</si>
  <si>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</si>
  <si>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</si>
  <si>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</si>
  <si>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</si>
  <si>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</si>
  <si>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</si>
  <si>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</si>
  <si>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</si>
  <si>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</si>
  <si>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</si>
  <si>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</si>
  <si>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</si>
  <si>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</si>
  <si>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</si>
  <si>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</si>
  <si>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</si>
  <si>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</si>
  <si>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</si>
  <si>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</si>
  <si>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</si>
  <si>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</si>
  <si>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</si>
  <si>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</si>
  <si>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</si>
  <si>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</si>
  <si>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</si>
  <si>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</si>
  <si>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</si>
  <si>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</si>
  <si>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</si>
  <si>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</si>
  <si>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</si>
  <si>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</si>
  <si>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</si>
  <si>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</si>
  <si>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</si>
  <si>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</si>
  <si>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</si>
  <si>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</si>
  <si>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</si>
  <si>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</si>
  <si>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</si>
  <si>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</si>
  <si>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</si>
  <si>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</si>
  <si>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</si>
  <si>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</si>
  <si>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</si>
  <si>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</si>
  <si>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</si>
  <si>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</si>
  <si>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</si>
  <si>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</si>
  <si>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</si>
  <si>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</si>
  <si>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</si>
  <si>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</si>
  <si>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</si>
  <si>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</si>
  <si>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</si>
  <si>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</si>
  <si>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</si>
  <si>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</si>
  <si>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</si>
  <si>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</si>
  <si>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</si>
  <si>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</si>
  <si>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</si>
  <si>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</si>
  <si>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</si>
  <si>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</si>
  <si>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</si>
  <si>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</si>
  <si>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</si>
  <si>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</si>
  <si>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</si>
  <si>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</si>
  <si>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</si>
  <si>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</si>
  <si>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</si>
  <si>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</si>
  <si>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</si>
  <si>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</si>
  <si>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</si>
  <si>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</si>
  <si>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</si>
  <si>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</si>
  <si>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</si>
  <si>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</si>
  <si>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</si>
  <si>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</si>
  <si>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</si>
  <si>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</si>
  <si>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</si>
  <si>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</si>
  <si>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</si>
  <si>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</si>
  <si>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</si>
  <si>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</si>
  <si>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</si>
  <si>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</si>
  <si>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</si>
  <si>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</si>
  <si>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</si>
  <si>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</si>
  <si>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</si>
  <si>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</si>
  <si>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</si>
  <si>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</si>
  <si>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</si>
  <si>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</si>
  <si>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</si>
  <si>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</si>
  <si>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</si>
  <si>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</si>
  <si>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</si>
  <si>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</si>
  <si>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</si>
  <si>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</si>
  <si>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</si>
  <si>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</si>
  <si>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</si>
  <si>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</si>
  <si>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</si>
  <si>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</si>
  <si>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</si>
  <si>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</si>
  <si>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</si>
  <si>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</si>
  <si>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</si>
  <si>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</si>
  <si>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</si>
  <si>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</si>
  <si>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</si>
  <si>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</si>
  <si>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</si>
  <si>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</si>
  <si>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</si>
  <si>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</si>
  <si>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</si>
  <si>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</si>
  <si>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</si>
  <si>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</si>
  <si>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</si>
  <si>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</si>
  <si>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</si>
  <si>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</si>
  <si>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</si>
  <si>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</si>
  <si>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</si>
  <si>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</si>
  <si>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</si>
  <si>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</si>
  <si>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</si>
  <si>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</si>
  <si>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</si>
  <si>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</si>
  <si>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</si>
  <si>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</si>
  <si>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</si>
  <si>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</si>
  <si>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</si>
  <si>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</si>
  <si>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</si>
  <si>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</si>
  <si>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</si>
  <si>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</si>
  <si>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</si>
  <si>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</si>
  <si>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</si>
  <si>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</si>
  <si>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</si>
  <si>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</si>
  <si>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</si>
  <si>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</si>
  <si>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</si>
  <si>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</si>
  <si>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</si>
  <si>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</si>
  <si>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</si>
  <si>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</si>
  <si>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</si>
  <si>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</si>
  <si>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</si>
  <si>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</si>
  <si>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</si>
  <si>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</si>
  <si>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</si>
  <si>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</si>
  <si>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</si>
  <si>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</si>
  <si>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</si>
  <si>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</si>
  <si>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</si>
  <si>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</si>
  <si>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</si>
  <si>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</si>
  <si>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</si>
  <si>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</si>
  <si>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</si>
  <si>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</si>
  <si>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</si>
  <si>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</si>
  <si>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</si>
  <si>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</si>
  <si>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</si>
  <si>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</si>
  <si>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</si>
  <si>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</si>
  <si>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</si>
  <si>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</si>
  <si>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</si>
  <si>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</si>
  <si>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</si>
  <si>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</si>
  <si>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</si>
  <si>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</si>
  <si>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</si>
  <si>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</si>
  <si>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</si>
  <si>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</si>
  <si>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</si>
  <si>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</si>
  <si>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</si>
  <si>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</si>
  <si>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</si>
  <si>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</si>
  <si>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</si>
  <si>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</si>
  <si>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</si>
  <si>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</si>
  <si>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</si>
  <si>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</si>
  <si>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</si>
  <si>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</si>
  <si>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</si>
  <si>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</si>
  <si>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</si>
  <si>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</si>
  <si>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</si>
  <si>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</si>
  <si>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</si>
  <si>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</si>
  <si>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</si>
  <si>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</si>
  <si>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</si>
  <si>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</si>
  <si>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</si>
  <si>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</si>
  <si>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</si>
  <si>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</si>
  <si>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</si>
  <si>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</si>
  <si>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</si>
  <si>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</si>
  <si>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</si>
  <si>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</si>
  <si>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</si>
  <si>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</si>
  <si>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</si>
  <si>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</si>
  <si>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</si>
  <si>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</si>
  <si>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</si>
  <si>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</si>
  <si>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</si>
  <si>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</si>
  <si>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</si>
  <si>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</si>
  <si>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</si>
  <si>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</si>
  <si>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</si>
  <si>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</si>
  <si>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</si>
  <si>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</si>
  <si>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</si>
  <si>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</si>
  <si>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</si>
  <si>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</si>
  <si>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</si>
  <si>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</si>
  <si>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</si>
  <si>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</si>
  <si>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</si>
  <si>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</si>
  <si>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</si>
  <si>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</si>
  <si>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</si>
  <si>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</si>
  <si>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</si>
  <si>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</si>
  <si>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</si>
  <si>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</si>
  <si>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</si>
  <si>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</si>
  <si>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</si>
  <si>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</si>
  <si>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</si>
  <si>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</si>
  <si>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</si>
  <si>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</si>
  <si>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</si>
  <si>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</si>
  <si>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</si>
  <si>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</si>
  <si>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</si>
  <si>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</si>
  <si>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</si>
  <si>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</si>
  <si>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</si>
  <si>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</si>
  <si>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</si>
  <si>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</si>
  <si>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</si>
  <si>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</si>
  <si>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</si>
  <si>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</si>
  <si>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</si>
  <si>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</si>
  <si>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</si>
  <si>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</si>
  <si>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</si>
  <si>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</si>
  <si>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</si>
  <si>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</si>
  <si>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</si>
  <si>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</si>
  <si>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</si>
  <si>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</si>
  <si>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</si>
  <si>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</si>
  <si>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</si>
  <si>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</si>
  <si>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</si>
  <si>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</si>
  <si>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</si>
  <si>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</si>
  <si>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</si>
  <si>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</si>
  <si>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</si>
  <si>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</si>
  <si>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</si>
  <si>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</si>
  <si>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</si>
  <si>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</si>
  <si>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</si>
  <si>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</si>
  <si>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</si>
  <si>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</si>
  <si>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</si>
  <si>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</si>
  <si>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</si>
  <si>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</si>
  <si>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</si>
  <si>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</si>
  <si>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</si>
  <si>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</si>
  <si>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</si>
  <si>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</si>
  <si>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</si>
  <si>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</si>
  <si>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</si>
  <si>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</si>
  <si>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</si>
  <si>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</si>
  <si>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</si>
  <si>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</si>
  <si>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</si>
  <si>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</si>
  <si>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</si>
  <si>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</si>
  <si>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</si>
  <si>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</si>
  <si>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</si>
  <si>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</si>
  <si>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</si>
  <si>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</si>
  <si>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</si>
  <si>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</si>
  <si>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</si>
  <si>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</si>
  <si>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</si>
  <si>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</si>
  <si>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</si>
  <si>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</si>
  <si>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</si>
  <si>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</si>
  <si>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</si>
  <si>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</si>
  <si>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</si>
  <si>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</si>
  <si>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</si>
  <si>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</si>
  <si>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</si>
  <si>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</si>
  <si>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</si>
  <si>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</si>
  <si>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</si>
  <si>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</si>
  <si>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</si>
  <si>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</si>
  <si>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</si>
  <si>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</si>
  <si>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</si>
  <si>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</si>
  <si>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</si>
  <si>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</si>
  <si>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</si>
  <si>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</si>
  <si>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</si>
  <si>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</si>
  <si>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</si>
  <si>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</si>
  <si>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</si>
  <si>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</si>
  <si>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</si>
  <si>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</si>
  <si>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</si>
  <si>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</si>
  <si>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</si>
  <si>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</si>
  <si>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</si>
  <si>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</si>
  <si>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</si>
  <si>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</si>
  <si>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</si>
  <si>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</si>
  <si>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</si>
  <si>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</si>
  <si>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</si>
  <si>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</si>
  <si>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</si>
  <si>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</si>
  <si>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</si>
  <si>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</si>
  <si>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</si>
  <si>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</si>
  <si>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</si>
  <si>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</si>
  <si>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</si>
  <si>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</si>
  <si>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</si>
  <si>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</si>
  <si>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</si>
  <si>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</si>
  <si>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</si>
  <si>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</si>
  <si>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</si>
  <si>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</si>
  <si>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</si>
  <si>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</si>
  <si>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</si>
  <si>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</si>
  <si>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</si>
  <si>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</si>
  <si>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</si>
  <si>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</si>
  <si>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</si>
  <si>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</si>
  <si>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</si>
  <si>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</si>
  <si>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</si>
  <si>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</si>
  <si>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</si>
  <si>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</si>
  <si>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</si>
  <si>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</si>
  <si>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</si>
  <si>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</si>
  <si>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</si>
  <si>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</si>
  <si>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</si>
  <si>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</si>
  <si>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</si>
  <si>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</si>
  <si>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</si>
  <si>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</si>
  <si>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</si>
  <si>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</si>
  <si>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</si>
  <si>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</si>
  <si>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</si>
  <si>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</si>
  <si>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</si>
  <si>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</si>
  <si>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</si>
  <si>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</si>
  <si>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</si>
  <si>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</si>
  <si>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</si>
  <si>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</si>
  <si>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</si>
  <si>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</si>
  <si>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</si>
  <si>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</si>
  <si>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</si>
  <si>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</si>
  <si>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</si>
  <si>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</si>
  <si>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</si>
  <si>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</si>
  <si>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</si>
  <si>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</si>
  <si>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</si>
  <si>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</si>
  <si>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</si>
  <si>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</si>
  <si>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</si>
  <si>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</si>
  <si>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</si>
  <si>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</si>
  <si>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</si>
  <si>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</si>
  <si>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</si>
  <si>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</si>
  <si>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</si>
  <si>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</si>
  <si>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</si>
  <si>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</si>
  <si>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</si>
  <si>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</si>
  <si>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</si>
  <si>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</si>
  <si>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</si>
  <si>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</si>
  <si>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</si>
  <si>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</si>
  <si>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</si>
  <si>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</si>
  <si>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</si>
  <si>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</si>
  <si>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</si>
  <si>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</si>
  <si>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</si>
  <si>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</si>
  <si>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</si>
  <si>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</si>
  <si>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</si>
  <si>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</si>
  <si>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</si>
  <si>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</si>
  <si>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</si>
  <si>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</si>
  <si>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</si>
  <si>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</si>
  <si>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</si>
  <si>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</si>
  <si>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</si>
  <si>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</si>
  <si>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</si>
  <si>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</si>
  <si>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</si>
  <si>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</si>
  <si>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</si>
  <si>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</si>
  <si>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</si>
  <si>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</si>
  <si>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</si>
  <si>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</si>
  <si>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</si>
  <si>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</si>
  <si>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</si>
  <si>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</si>
  <si>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</si>
  <si>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</si>
  <si>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</si>
  <si>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</si>
  <si>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</si>
  <si>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</si>
  <si>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</si>
  <si>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</si>
  <si>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</si>
  <si>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</si>
  <si>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</si>
  <si>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</si>
  <si>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</si>
  <si>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</si>
  <si>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</si>
  <si>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</si>
  <si>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</si>
  <si>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</si>
  <si>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</si>
  <si>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</si>
  <si>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</si>
  <si>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</si>
  <si>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</si>
  <si>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</si>
  <si>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</si>
  <si>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</si>
  <si>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</si>
  <si>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</si>
  <si>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</si>
  <si>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</si>
  <si>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</si>
  <si>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</si>
  <si>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</si>
  <si>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</si>
  <si>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</si>
  <si>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</si>
  <si>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</si>
  <si>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</si>
  <si>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</si>
  <si>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</si>
  <si>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</si>
  <si>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</si>
  <si>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</si>
  <si>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</si>
  <si>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</si>
  <si>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</si>
  <si>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</si>
  <si>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</si>
  <si>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</si>
  <si>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</si>
  <si>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</si>
  <si>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</si>
  <si>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</si>
  <si>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</si>
  <si>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</si>
  <si>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</si>
  <si>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</si>
  <si>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</si>
  <si>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</si>
  <si>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</si>
  <si>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</si>
  <si>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</si>
  <si>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</si>
  <si>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</si>
  <si>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</si>
  <si>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</si>
  <si>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</si>
  <si>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</si>
  <si>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</si>
  <si>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</si>
  <si>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</si>
  <si>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</si>
  <si>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</si>
  <si>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</si>
  <si>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</si>
  <si>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</si>
  <si>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</si>
  <si>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</si>
  <si>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</si>
  <si>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</si>
  <si>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</si>
  <si>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</si>
  <si>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</si>
  <si>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</si>
  <si>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</si>
  <si>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</si>
  <si>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</si>
  <si>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</si>
  <si>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</si>
  <si>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</si>
  <si>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</si>
  <si>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</si>
  <si>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</si>
  <si>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</si>
  <si>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</si>
  <si>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</si>
  <si>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</si>
  <si>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</si>
  <si>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</si>
  <si>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</si>
  <si>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</si>
  <si>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</si>
  <si>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</si>
  <si>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</si>
  <si>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</si>
  <si>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</si>
  <si>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</si>
  <si>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</si>
  <si>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</si>
  <si>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</si>
  <si>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</si>
  <si>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</si>
  <si>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</si>
  <si>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</si>
  <si>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</si>
  <si>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</si>
  <si>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</si>
  <si>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</si>
  <si>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</si>
  <si>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</si>
  <si>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</si>
  <si>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</si>
  <si>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</si>
  <si>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</si>
  <si>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</si>
  <si>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</si>
  <si>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</si>
  <si>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</si>
  <si>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</si>
  <si>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</si>
  <si>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</si>
  <si>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</si>
  <si>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</si>
  <si>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</si>
  <si>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</si>
  <si>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</si>
  <si>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</si>
  <si>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</si>
  <si>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</si>
  <si>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</si>
  <si>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</si>
  <si>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</si>
  <si>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</si>
  <si>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</si>
  <si>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</si>
  <si>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</si>
  <si>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</si>
  <si>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</si>
  <si>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</si>
  <si>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</si>
  <si>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</si>
  <si>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</si>
  <si>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</si>
  <si>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</si>
  <si>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</si>
  <si>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</si>
  <si>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</si>
  <si>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</si>
  <si>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</si>
  <si>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</si>
  <si>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</si>
  <si>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</si>
  <si>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</si>
  <si>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</si>
  <si>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</si>
  <si>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</si>
  <si>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</si>
  <si>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</si>
  <si>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</si>
  <si>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</si>
  <si>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</si>
  <si>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</si>
  <si>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</si>
  <si>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</si>
  <si>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</si>
  <si>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</si>
  <si>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</si>
  <si>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</si>
  <si>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</si>
  <si>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</si>
  <si>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</si>
  <si>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</si>
  <si>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</si>
  <si>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</si>
  <si>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</si>
  <si>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</si>
  <si>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</si>
  <si>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</si>
  <si>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</si>
  <si>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</si>
  <si>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</si>
  <si>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</si>
  <si>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</si>
  <si>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</si>
  <si>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</si>
  <si>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</si>
  <si>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</si>
  <si>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</si>
  <si>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</si>
  <si>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</si>
  <si>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</si>
  <si>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</si>
  <si>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</si>
  <si>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</si>
  <si>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</si>
  <si>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</si>
  <si>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</si>
  <si>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</si>
  <si>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</si>
  <si>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</si>
  <si>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</si>
  <si>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</si>
  <si>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</si>
  <si>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</si>
  <si>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</si>
  <si>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</si>
  <si>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</si>
  <si>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</si>
  <si>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</si>
  <si>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</si>
  <si>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</si>
  <si>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</si>
  <si>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</si>
  <si>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</si>
  <si>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</si>
  <si>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</si>
  <si>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</si>
  <si>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</si>
  <si>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</si>
  <si>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</si>
  <si>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</si>
  <si>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</si>
  <si>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</si>
  <si>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</si>
  <si>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</si>
  <si>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</si>
  <si>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</si>
  <si>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</si>
  <si>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</si>
  <si>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</si>
  <si>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</si>
  <si>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</si>
  <si>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</si>
  <si>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</si>
  <si>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</si>
  <si>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</si>
  <si>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</si>
  <si>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</si>
  <si>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</si>
  <si>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</si>
  <si>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</si>
  <si>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</si>
  <si>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</si>
  <si>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</si>
  <si>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</si>
  <si>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</si>
  <si>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</si>
  <si>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</si>
  <si>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</si>
  <si>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</si>
  <si>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</si>
  <si>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</si>
  <si>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</si>
  <si>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</si>
  <si>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</si>
  <si>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</si>
  <si>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</si>
  <si>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</si>
  <si>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</si>
  <si>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</si>
  <si>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</si>
  <si>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</si>
  <si>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</si>
  <si>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</si>
  <si>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</si>
  <si>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</si>
  <si>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</si>
  <si>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</si>
  <si>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</si>
  <si>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</si>
  <si>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</si>
  <si>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</si>
  <si>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</si>
  <si>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</si>
  <si>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</si>
  <si>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</si>
  <si>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</si>
  <si>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</si>
  <si>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</si>
  <si>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</si>
  <si>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</si>
  <si>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</si>
  <si>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</si>
  <si>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</si>
  <si>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</si>
  <si>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</si>
  <si>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</si>
  <si>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</si>
  <si>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</si>
  <si>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</si>
  <si>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</si>
  <si>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</si>
  <si>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</si>
  <si>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</si>
  <si>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</si>
  <si>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</si>
  <si>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</si>
  <si>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</si>
  <si>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</si>
  <si>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</si>
  <si>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</si>
  <si>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</si>
  <si>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</si>
  <si>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</si>
  <si>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</si>
  <si>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</si>
  <si>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</si>
  <si>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</si>
  <si>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</si>
  <si>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</si>
  <si>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</si>
  <si>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</si>
  <si>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</si>
  <si>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</si>
  <si>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</si>
  <si>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</si>
  <si>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</si>
  <si>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</si>
  <si>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</si>
  <si>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</si>
  <si>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</si>
  <si>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</si>
  <si>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</si>
  <si>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</si>
  <si>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</si>
  <si>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</si>
  <si>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</si>
  <si>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</si>
  <si>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</si>
  <si>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</si>
  <si>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</si>
  <si>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</si>
  <si>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</si>
  <si>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</si>
  <si>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</si>
  <si>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</si>
  <si>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</si>
  <si>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</si>
  <si>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</si>
  <si>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</si>
  <si>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</si>
  <si>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</si>
  <si>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</si>
  <si>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</si>
  <si>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</si>
  <si>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</si>
  <si>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</si>
  <si>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</si>
  <si>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</si>
  <si>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</si>
  <si>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</si>
  <si>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</si>
  <si>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</si>
  <si>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</si>
  <si>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</si>
  <si>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</si>
  <si>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</si>
  <si>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</si>
  <si>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</si>
  <si>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</si>
  <si>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</si>
  <si>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</si>
  <si>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</si>
  <si>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</si>
  <si>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</si>
  <si>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</si>
  <si>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</si>
  <si>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</si>
  <si>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</si>
  <si>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</si>
  <si>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</si>
  <si>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</si>
  <si>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</si>
  <si>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</si>
  <si>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</si>
  <si>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</si>
  <si>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</si>
  <si>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</si>
  <si>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</si>
  <si>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</si>
  <si>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</si>
  <si>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</si>
  <si>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</si>
  <si>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</si>
  <si>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</si>
  <si>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</si>
  <si>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</si>
  <si>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</si>
  <si>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</si>
  <si>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</si>
  <si>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</si>
  <si>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</si>
  <si>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</si>
  <si>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</si>
  <si>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</si>
  <si>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</si>
  <si>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</si>
  <si>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</si>
  <si>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</si>
  <si>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</si>
  <si>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</si>
  <si>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</si>
  <si>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</si>
  <si>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</si>
  <si>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</si>
  <si>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</si>
  <si>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</si>
  <si>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</si>
  <si>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</si>
  <si>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</si>
  <si>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</si>
  <si>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</si>
  <si>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</si>
  <si>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</si>
  <si>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</si>
  <si>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</si>
  <si>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</si>
  <si>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</si>
  <si>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</si>
  <si>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</si>
  <si>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</si>
  <si>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</si>
  <si>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</si>
  <si>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</si>
  <si>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</si>
  <si>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</si>
  <si>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</si>
  <si>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</si>
  <si>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</si>
  <si>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</si>
  <si>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</si>
  <si>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</si>
  <si>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</si>
  <si>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</si>
  <si>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</si>
  <si>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</si>
  <si>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</si>
  <si>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</si>
  <si>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</si>
  <si>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</si>
  <si>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</si>
  <si>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</si>
  <si>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</si>
  <si>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</si>
  <si>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</si>
  <si>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</si>
  <si>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</si>
  <si>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</si>
  <si>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</si>
  <si>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</si>
  <si>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</si>
  <si>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</si>
  <si>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</si>
  <si>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</si>
  <si>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</si>
  <si>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</si>
  <si>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</si>
  <si>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</si>
  <si>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</si>
  <si>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</si>
  <si>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</si>
  <si>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</si>
  <si>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</si>
  <si>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</si>
  <si>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</si>
  <si>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</si>
  <si>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</si>
  <si>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</si>
  <si>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</si>
  <si>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</si>
  <si>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</si>
  <si>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</si>
  <si>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</si>
  <si>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</si>
  <si>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</si>
  <si>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</si>
  <si>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</si>
  <si>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</si>
  <si>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</si>
  <si>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</si>
  <si>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</si>
  <si>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</si>
  <si>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</si>
  <si>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</si>
  <si>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</si>
  <si>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</si>
  <si>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</si>
  <si>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</si>
  <si>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</si>
  <si>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</si>
  <si>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</si>
  <si>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</si>
  <si>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</si>
  <si>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</si>
  <si>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</si>
  <si>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</si>
  <si>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</si>
  <si>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</si>
  <si>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</si>
  <si>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</si>
  <si>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</si>
  <si>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</si>
  <si>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</si>
  <si>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</si>
  <si>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</si>
  <si>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</si>
  <si>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</si>
  <si>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</si>
  <si>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</si>
  <si>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</si>
  <si>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</si>
  <si>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</si>
  <si>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</si>
  <si>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</si>
  <si>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</si>
  <si>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</si>
  <si>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</si>
  <si>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</si>
  <si>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</si>
  <si>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</si>
  <si>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</si>
  <si>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</si>
  <si>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</si>
  <si>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</si>
  <si>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</si>
  <si>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</si>
  <si>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</si>
  <si>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</si>
  <si>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</si>
  <si>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</si>
  <si>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</si>
  <si>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</si>
  <si>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</si>
  <si>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</si>
  <si>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</si>
  <si>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</si>
  <si>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</si>
  <si>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</si>
  <si>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</si>
  <si>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</si>
  <si>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</si>
  <si>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</si>
  <si>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</si>
  <si>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</si>
  <si>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</si>
  <si>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</si>
  <si>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</si>
  <si>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</si>
  <si>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</si>
  <si>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</si>
  <si>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</si>
  <si>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</si>
  <si>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</si>
  <si>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</si>
  <si>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</si>
  <si>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</si>
  <si>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</si>
  <si>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</si>
  <si>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</si>
  <si>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</si>
  <si>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</si>
  <si>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</si>
  <si>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</si>
  <si>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</si>
  <si>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</si>
  <si>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</si>
  <si>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</si>
  <si>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</si>
  <si>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</si>
  <si>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</si>
  <si>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</si>
  <si>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</si>
  <si>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</si>
  <si>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</si>
  <si>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</si>
  <si>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</si>
  <si>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</si>
  <si>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</si>
  <si>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</si>
  <si>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</si>
  <si>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</si>
  <si>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</si>
  <si>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</si>
  <si>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</si>
  <si>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</si>
  <si>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</si>
  <si>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</si>
  <si>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</si>
  <si>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</si>
  <si>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</si>
  <si>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</si>
  <si>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</si>
  <si>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</si>
  <si>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</si>
  <si>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</si>
  <si>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</si>
  <si>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</si>
  <si>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</si>
  <si>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</si>
  <si>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</si>
  <si>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</si>
  <si>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</si>
  <si>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</si>
  <si>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</si>
  <si>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</si>
  <si>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</si>
  <si>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</si>
  <si>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</si>
  <si>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</si>
  <si>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</si>
  <si>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</si>
  <si>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</si>
  <si>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</si>
  <si>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</si>
  <si>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</si>
  <si>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</si>
  <si>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</si>
  <si>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</si>
  <si>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</si>
  <si>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</si>
  <si>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</si>
  <si>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</si>
  <si>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</si>
  <si>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</si>
  <si>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</si>
  <si>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</si>
  <si>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</si>
  <si>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</si>
  <si>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</si>
  <si>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</si>
  <si>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</si>
  <si>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</si>
  <si>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</si>
  <si>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</si>
  <si>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</si>
  <si>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</si>
  <si>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</si>
  <si>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</si>
  <si>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</si>
  <si>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</si>
  <si>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</si>
  <si>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</si>
  <si>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</si>
  <si>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</si>
  <si>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</si>
  <si>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</si>
  <si>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</si>
  <si>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</si>
  <si>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</si>
  <si>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</si>
  <si>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</si>
  <si>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</si>
  <si>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</si>
  <si>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</si>
  <si>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</si>
  <si>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</si>
  <si>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</si>
  <si>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</si>
  <si>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</si>
  <si>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</si>
  <si>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</si>
  <si>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</si>
  <si>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</si>
  <si>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</si>
  <si>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</si>
  <si>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</si>
  <si>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</si>
  <si>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</si>
  <si>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</si>
  <si>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</si>
  <si>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</si>
  <si>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</si>
  <si>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</si>
  <si>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</si>
  <si>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</si>
  <si>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</si>
  <si>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</si>
  <si>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</si>
  <si>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</si>
  <si>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</si>
  <si>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</si>
  <si>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</si>
  <si>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</si>
  <si>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</si>
  <si>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</si>
  <si>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</si>
  <si>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</si>
  <si>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</si>
  <si>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</si>
  <si>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</si>
  <si>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</si>
  <si>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</si>
  <si>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</si>
  <si>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</si>
  <si>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</si>
  <si>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</si>
  <si>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</si>
  <si>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</si>
  <si>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</si>
  <si>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</si>
  <si>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</si>
  <si>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</si>
  <si>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</si>
  <si>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</si>
  <si>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</si>
  <si>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</si>
  <si>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</si>
  <si>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</si>
  <si>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</si>
  <si>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</si>
  <si>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</si>
  <si>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</si>
  <si>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</si>
  <si>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</si>
  <si>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</si>
  <si>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</si>
  <si>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</si>
  <si>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</si>
  <si>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</si>
  <si>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</si>
  <si>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</si>
  <si>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</si>
  <si>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</si>
  <si>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</si>
  <si>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</si>
  <si>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</si>
  <si>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</si>
  <si>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</si>
  <si>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</si>
  <si>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</si>
  <si>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</si>
  <si>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</si>
  <si>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</si>
  <si>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</si>
  <si>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</si>
  <si>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</si>
  <si>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</si>
  <si>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</si>
  <si>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</si>
  <si>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</si>
  <si>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</si>
  <si>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</si>
  <si>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</si>
  <si>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</si>
  <si>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</si>
  <si>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</si>
  <si>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</si>
  <si>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</si>
  <si>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</si>
  <si>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</si>
  <si>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</si>
  <si>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</si>
  <si>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</si>
  <si>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</si>
  <si>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</si>
  <si>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</si>
  <si>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</si>
  <si>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</si>
  <si>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</si>
  <si>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</si>
  <si>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</si>
  <si>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</si>
  <si>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</si>
  <si>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</si>
  <si>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</si>
  <si>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</si>
  <si>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</si>
  <si>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</si>
  <si>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</si>
  <si>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</si>
  <si>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</si>
  <si>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</si>
  <si>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</si>
  <si>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</si>
  <si>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</si>
  <si>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</si>
  <si>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</si>
  <si>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</si>
  <si>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</si>
  <si>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</si>
  <si>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</si>
  <si>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</si>
  <si>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</si>
  <si>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</si>
  <si>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</si>
  <si>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</si>
  <si>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</si>
  <si>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</si>
  <si>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</si>
  <si>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</si>
  <si>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</si>
  <si>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</si>
  <si>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</si>
  <si>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</si>
  <si>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</si>
  <si>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</si>
  <si>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</si>
  <si>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</si>
  <si>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</si>
  <si>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</si>
  <si>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</si>
  <si>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</si>
  <si>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</si>
  <si>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</si>
  <si>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</si>
  <si>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</si>
  <si>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</si>
  <si>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</si>
  <si>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</si>
  <si>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</si>
  <si>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</si>
  <si>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</si>
  <si>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</si>
  <si>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</si>
  <si>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</si>
  <si>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</si>
  <si>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</si>
  <si>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</si>
  <si>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</si>
  <si>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</si>
  <si>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</si>
  <si>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</si>
  <si>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</si>
  <si>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</si>
  <si>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</si>
  <si>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</si>
  <si>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</si>
  <si>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</si>
  <si>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</si>
  <si>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</si>
  <si>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</si>
  <si>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</si>
  <si>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</si>
  <si>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</si>
  <si>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</si>
  <si>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</si>
  <si>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</si>
  <si>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</si>
  <si>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</si>
  <si>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</si>
  <si>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</si>
  <si>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</si>
  <si>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</si>
  <si>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</si>
  <si>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</si>
  <si>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</si>
  <si>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</si>
  <si>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</si>
  <si>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</si>
  <si>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</si>
  <si>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</si>
  <si>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</si>
  <si>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</si>
  <si>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</si>
  <si>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</si>
  <si>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</si>
  <si>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</si>
  <si>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</si>
  <si>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</si>
  <si>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</si>
  <si>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</si>
  <si>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</si>
  <si>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</si>
  <si>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</si>
  <si>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</si>
  <si>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</si>
  <si>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</si>
  <si>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</si>
  <si>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</si>
  <si>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</si>
  <si>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</si>
  <si>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</si>
  <si>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</si>
  <si>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</si>
  <si>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</si>
  <si>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</si>
  <si>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</si>
  <si>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</si>
  <si>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</si>
  <si>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</si>
  <si>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</si>
  <si>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</si>
  <si>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</si>
  <si>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</si>
  <si>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</si>
  <si>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</si>
  <si>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</si>
  <si>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</si>
  <si>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</si>
  <si>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</si>
  <si>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</si>
  <si>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</si>
  <si>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</si>
  <si>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</si>
  <si>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</si>
  <si>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</si>
  <si>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</si>
  <si>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</si>
  <si>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</si>
  <si>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</si>
  <si>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</si>
  <si>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</si>
  <si>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</si>
  <si>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</si>
  <si>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</si>
  <si>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</si>
  <si>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</si>
  <si>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</si>
  <si>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</si>
  <si>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</si>
  <si>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</si>
  <si>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</si>
  <si>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</si>
  <si>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</si>
  <si>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</si>
  <si>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</si>
  <si>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</si>
  <si>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</si>
  <si>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</si>
  <si>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</si>
  <si>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</si>
  <si>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</si>
  <si>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</si>
  <si>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</si>
  <si>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</si>
  <si>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</si>
  <si>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</si>
  <si>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</si>
  <si>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</si>
  <si>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</si>
  <si>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</si>
  <si>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</si>
  <si>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</si>
  <si>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</si>
  <si>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</si>
  <si>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</si>
  <si>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</si>
  <si>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</si>
  <si>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</si>
  <si>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</si>
  <si>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</si>
  <si>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</si>
  <si>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</si>
  <si>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</si>
  <si>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</si>
  <si>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</si>
  <si>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</si>
  <si>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</si>
  <si>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</si>
  <si>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</si>
  <si>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</si>
  <si>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</si>
  <si>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</si>
  <si>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</si>
  <si>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</si>
  <si>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</si>
  <si>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</si>
  <si>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</si>
  <si>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</si>
  <si>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</si>
  <si>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</si>
  <si>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</si>
  <si>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</si>
  <si>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</si>
  <si>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</si>
  <si>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</si>
  <si>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</si>
  <si>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</si>
  <si>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</si>
  <si>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</si>
  <si>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</si>
  <si>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</si>
  <si>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</si>
  <si>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</si>
  <si>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</si>
  <si>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</si>
  <si>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</si>
  <si>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</si>
  <si>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</si>
  <si>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</si>
  <si>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</si>
  <si>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</si>
  <si>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</si>
  <si>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</si>
  <si>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</si>
  <si>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</si>
  <si>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</si>
  <si>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</si>
  <si>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</si>
  <si>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</si>
  <si>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</si>
  <si>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</si>
  <si>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</si>
  <si>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</si>
  <si>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</si>
  <si>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</si>
  <si>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</si>
  <si>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</si>
  <si>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</si>
  <si>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</si>
  <si>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</si>
  <si>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</si>
  <si>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</si>
  <si>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</si>
  <si>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</si>
  <si>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</si>
  <si>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</si>
  <si>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</si>
  <si>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</si>
  <si>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</si>
  <si>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</si>
  <si>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</si>
  <si>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</si>
  <si>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</si>
  <si>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</si>
  <si>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</si>
  <si>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</si>
  <si>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</si>
  <si>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</si>
  <si>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</si>
  <si>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</si>
  <si>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</si>
  <si>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</si>
  <si>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</si>
  <si>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</si>
  <si>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</si>
  <si>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</si>
  <si>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</si>
  <si>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</si>
  <si>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</si>
  <si>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</si>
  <si>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</si>
  <si>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</si>
  <si>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</si>
  <si>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</si>
  <si>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</si>
  <si>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</si>
  <si>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</si>
  <si>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</si>
  <si>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</si>
  <si>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</si>
  <si>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</si>
  <si>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</si>
  <si>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</si>
  <si>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</si>
  <si>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</si>
  <si>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</si>
  <si>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</si>
  <si>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</si>
  <si>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</si>
  <si>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</si>
  <si>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</si>
  <si>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</si>
  <si>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</si>
  <si>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</si>
  <si>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</si>
  <si>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</si>
  <si>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</si>
  <si>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</si>
  <si>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</si>
  <si>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</si>
  <si>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</si>
  <si>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</si>
  <si>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</si>
  <si>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</si>
  <si>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</si>
  <si>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</si>
  <si>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</si>
  <si>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</si>
  <si>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</si>
  <si>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</si>
  <si>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</si>
  <si>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</si>
  <si>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</si>
  <si>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</si>
  <si>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</si>
  <si>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</si>
  <si>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</si>
  <si>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</si>
  <si>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</si>
  <si>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</si>
  <si>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</si>
  <si>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</si>
  <si>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</si>
  <si>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</si>
  <si>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</si>
  <si>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</si>
  <si>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</si>
  <si>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</si>
  <si>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</si>
  <si>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</si>
  <si>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</si>
  <si>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</si>
  <si>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</si>
  <si>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</si>
  <si>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</si>
  <si>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</si>
  <si>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</si>
  <si>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</si>
  <si>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</si>
  <si>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</si>
  <si>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</si>
  <si>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</si>
  <si>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</si>
  <si>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</si>
  <si>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</si>
  <si>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</si>
  <si>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</si>
  <si>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</si>
  <si>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</si>
  <si>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</si>
  <si>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</si>
  <si>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</si>
  <si>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</si>
  <si>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</si>
  <si>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</si>
  <si>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</si>
  <si>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</si>
  <si>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</si>
  <si>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</si>
  <si>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</si>
  <si>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</si>
  <si>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</si>
  <si>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</si>
  <si>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</si>
  <si>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</si>
  <si>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</si>
  <si>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</si>
  <si>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</si>
  <si>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</si>
  <si>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</si>
  <si>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</si>
  <si>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</si>
  <si>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</si>
  <si>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</si>
  <si>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</si>
  <si>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</si>
  <si>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</si>
  <si>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</si>
  <si>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</si>
  <si>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</si>
  <si>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</si>
  <si>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</si>
  <si>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</si>
  <si>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</si>
  <si>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</si>
  <si>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</si>
  <si>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</si>
  <si>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</si>
  <si>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</si>
  <si>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</si>
  <si>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</si>
  <si>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</si>
  <si>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</si>
  <si>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</si>
  <si>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</si>
  <si>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</si>
  <si>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</si>
  <si>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</si>
  <si>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</si>
  <si>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</si>
  <si>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</si>
  <si>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</si>
  <si>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</si>
  <si>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</si>
  <si>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</si>
  <si>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</si>
  <si>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</si>
  <si>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</si>
  <si>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</si>
  <si>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</si>
  <si>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</si>
  <si>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</si>
  <si>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</si>
  <si>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</si>
  <si>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</si>
  <si>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</si>
  <si>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</si>
  <si>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</si>
  <si>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</si>
  <si>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</si>
  <si>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</si>
  <si>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</si>
  <si>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</si>
  <si>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</si>
  <si>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</si>
  <si>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</si>
  <si>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</si>
  <si>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</si>
  <si>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</si>
  <si>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</si>
  <si>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</si>
  <si>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</si>
  <si>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</si>
  <si>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</si>
  <si>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</si>
  <si>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</si>
  <si>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</si>
  <si>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</si>
  <si>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</si>
  <si>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</si>
  <si>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</si>
  <si>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</si>
  <si>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</si>
  <si>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</si>
  <si>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</si>
  <si>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</si>
  <si>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</si>
  <si>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</si>
  <si>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</si>
  <si>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</si>
  <si>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</si>
  <si>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</si>
  <si>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</si>
  <si>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</si>
  <si>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</si>
  <si>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</si>
  <si>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</si>
  <si>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</si>
  <si>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</si>
  <si>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</si>
  <si>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</si>
  <si>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</si>
  <si>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</si>
  <si>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</si>
  <si>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</si>
  <si>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</si>
  <si>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</si>
  <si>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</si>
  <si>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</si>
  <si>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</si>
  <si>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</si>
  <si>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</si>
  <si>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</si>
  <si>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</si>
  <si>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</si>
  <si>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</si>
  <si>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</si>
  <si>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</si>
  <si>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</si>
  <si>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</si>
  <si>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</si>
  <si>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</si>
  <si>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</si>
  <si>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</si>
  <si>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</si>
  <si>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</si>
  <si>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</si>
  <si>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</si>
  <si>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</si>
  <si>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</si>
  <si>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</si>
  <si>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</si>
  <si>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</si>
  <si>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</si>
  <si>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</si>
  <si>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</si>
  <si>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</si>
  <si>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</si>
  <si>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</si>
  <si>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</si>
  <si>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</si>
  <si>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</si>
  <si>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</si>
  <si>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</si>
  <si>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</si>
  <si>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</si>
  <si>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</si>
  <si>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</si>
  <si>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</si>
  <si>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</si>
  <si>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</si>
  <si>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</si>
  <si>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</si>
  <si>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</si>
  <si>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</si>
  <si>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</si>
  <si>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</si>
  <si>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</si>
  <si>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</si>
  <si>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</si>
  <si>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</si>
  <si>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</si>
  <si>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</si>
  <si>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</si>
  <si>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</si>
  <si>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</si>
  <si>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</si>
  <si>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</si>
  <si>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</si>
  <si>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</si>
  <si>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</si>
  <si>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</si>
  <si>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</si>
  <si>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</si>
  <si>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</si>
  <si>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</si>
  <si>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</si>
  <si>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</si>
  <si>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</si>
  <si>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</si>
  <si>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</si>
  <si>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</si>
  <si>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</si>
  <si>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</si>
  <si>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</si>
  <si>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</si>
  <si>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</si>
  <si>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</si>
  <si>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</si>
  <si>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</si>
  <si>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</si>
  <si>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</si>
  <si>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</si>
  <si>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</si>
  <si>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</si>
  <si>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</si>
  <si>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</si>
  <si>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</si>
  <si>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</si>
  <si>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</si>
  <si>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</si>
  <si>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</si>
  <si>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</si>
  <si>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</si>
  <si>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</si>
  <si>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</si>
  <si>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</si>
  <si>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</si>
  <si>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</si>
  <si>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</si>
  <si>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</si>
  <si>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</si>
  <si>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</si>
  <si>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</si>
  <si>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</si>
  <si>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</si>
  <si>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</si>
  <si>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</si>
  <si>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</si>
  <si>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</si>
  <si>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</si>
  <si>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</si>
  <si>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</si>
  <si>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</si>
  <si>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</si>
  <si>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</si>
  <si>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</si>
  <si>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</si>
  <si>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</si>
  <si>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</si>
  <si>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</si>
  <si>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</si>
  <si>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</si>
  <si>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</si>
  <si>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</si>
  <si>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</si>
  <si>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</si>
  <si>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</si>
  <si>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</si>
  <si>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</si>
  <si>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</si>
  <si>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</si>
  <si>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</si>
  <si>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</si>
  <si>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</si>
  <si>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</si>
  <si>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</si>
  <si>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</si>
  <si>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</si>
  <si>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</si>
  <si>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</si>
  <si>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</si>
  <si>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</si>
  <si>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</si>
  <si>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</si>
  <si>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</si>
  <si>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</si>
  <si>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</si>
  <si>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</si>
  <si>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</si>
  <si>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</si>
  <si>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</si>
  <si>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</si>
  <si>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</si>
  <si>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</si>
  <si>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</si>
  <si>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</si>
  <si>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</si>
  <si>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</si>
  <si>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</si>
  <si>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</si>
  <si>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</si>
  <si>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</si>
  <si>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</si>
  <si>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</si>
  <si>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</si>
  <si>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</si>
  <si>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</si>
  <si>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</si>
  <si>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</si>
  <si>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</si>
  <si>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</si>
  <si>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</si>
  <si>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</si>
  <si>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</si>
  <si>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</si>
  <si>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</si>
  <si>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</si>
  <si>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</si>
  <si>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</si>
  <si>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</si>
  <si>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</si>
  <si>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</si>
  <si>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</si>
  <si>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</si>
  <si>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</si>
  <si>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</si>
  <si>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</si>
  <si>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</si>
  <si>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</si>
  <si>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</si>
  <si>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</si>
  <si>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</si>
  <si>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</si>
  <si>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</si>
  <si>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</si>
  <si>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</si>
  <si>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</si>
  <si>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</si>
  <si>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</si>
  <si>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</si>
  <si>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</si>
  <si>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</si>
  <si>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</si>
  <si>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</si>
  <si>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</si>
  <si>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</si>
  <si>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</si>
  <si>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</si>
  <si>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</si>
  <si>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</si>
  <si>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</si>
  <si>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</si>
  <si>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</si>
  <si>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</si>
  <si>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</si>
  <si>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</si>
  <si>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</si>
  <si>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</si>
  <si>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</si>
  <si>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</si>
  <si>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</si>
  <si>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</si>
  <si>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</si>
  <si>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</si>
  <si>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</si>
  <si>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</si>
  <si>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</si>
  <si>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</si>
  <si>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</si>
  <si>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</si>
  <si>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</si>
  <si>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</si>
  <si>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</si>
  <si>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</si>
  <si>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</si>
  <si>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</si>
  <si>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</si>
  <si>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</si>
  <si>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</si>
  <si>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</si>
  <si>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</si>
  <si>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</si>
  <si>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</si>
  <si>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</si>
  <si>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</si>
  <si>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</si>
  <si>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</si>
  <si>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</si>
  <si>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</si>
  <si>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</si>
  <si>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</si>
  <si>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</si>
  <si>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</si>
  <si>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</si>
  <si>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</si>
  <si>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</si>
  <si>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</si>
  <si>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</si>
  <si>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</si>
  <si>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</si>
  <si>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</si>
  <si>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</si>
  <si>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</si>
  <si>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</si>
  <si>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</si>
  <si>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</si>
  <si>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</si>
  <si>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</si>
  <si>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</si>
  <si>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</si>
  <si>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</si>
  <si>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</si>
  <si>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</si>
  <si>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</si>
  <si>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</si>
  <si>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</si>
  <si>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</si>
  <si>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</si>
  <si>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</si>
  <si>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</si>
  <si>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</si>
  <si>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</si>
  <si>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</si>
  <si>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</si>
  <si>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</si>
  <si>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</si>
  <si>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</si>
  <si>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</si>
  <si>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</si>
  <si>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</si>
  <si>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</si>
  <si>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</si>
  <si>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</si>
  <si>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</si>
  <si>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</si>
  <si>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</si>
  <si>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</si>
  <si>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</si>
  <si>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</si>
  <si>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</si>
  <si>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</si>
  <si>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</si>
  <si>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</si>
  <si>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</si>
  <si>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</si>
  <si>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</si>
  <si>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</si>
  <si>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</si>
  <si>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</si>
  <si>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</si>
  <si>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</si>
  <si>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</si>
  <si>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</si>
  <si>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</si>
  <si>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</si>
  <si>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</si>
  <si>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</si>
  <si>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</si>
  <si>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</si>
  <si>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</si>
  <si>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</si>
  <si>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</si>
  <si>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</si>
  <si>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</si>
  <si>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</si>
  <si>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</si>
  <si>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</si>
  <si>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</si>
  <si>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</si>
  <si>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</si>
  <si>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</si>
  <si>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</si>
  <si>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</si>
  <si>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</si>
  <si>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</si>
  <si>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</si>
  <si>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</si>
  <si>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</si>
  <si>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</si>
  <si>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</si>
  <si>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</si>
  <si>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</si>
  <si>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</si>
  <si>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</si>
  <si>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</si>
  <si>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</si>
  <si>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</si>
  <si>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</si>
  <si>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</si>
  <si>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</si>
  <si>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</si>
  <si>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</si>
  <si>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</si>
  <si>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</si>
  <si>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</si>
  <si>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</si>
  <si>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</si>
  <si>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</si>
  <si>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</si>
  <si>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</si>
  <si>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</si>
  <si>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</si>
  <si>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</si>
  <si>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</si>
  <si>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</si>
  <si>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</si>
  <si>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</si>
  <si>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</si>
  <si>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</si>
  <si>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</si>
  <si>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</si>
  <si>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</si>
  <si>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</si>
  <si>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</si>
  <si>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</si>
  <si>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</si>
  <si>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</si>
  <si>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</si>
  <si>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</si>
  <si>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</si>
  <si>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</si>
  <si>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</si>
  <si>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</si>
  <si>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</si>
  <si>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</si>
  <si>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</si>
  <si>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</si>
  <si>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</si>
  <si>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</si>
  <si>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</si>
  <si>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</si>
  <si>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</si>
  <si>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</si>
  <si>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</si>
  <si>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</si>
  <si>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</si>
  <si>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</si>
  <si>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</si>
  <si>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</si>
  <si>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</si>
  <si>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</si>
  <si>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</si>
  <si>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</si>
  <si>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</si>
  <si>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</si>
  <si>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</si>
  <si>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</si>
  <si>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</si>
  <si>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</si>
  <si>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</si>
  <si>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</si>
  <si>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</si>
  <si>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</si>
  <si>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</si>
  <si>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</si>
  <si>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</si>
  <si>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</si>
  <si>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</si>
  <si>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</si>
  <si>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</si>
  <si>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</si>
  <si>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</si>
  <si>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</si>
  <si>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</si>
  <si>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</si>
  <si>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</si>
  <si>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</si>
  <si>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</si>
  <si>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</si>
  <si>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</si>
  <si>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</si>
  <si>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</si>
  <si>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</si>
  <si>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</si>
  <si>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</si>
  <si>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</si>
  <si>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</si>
  <si>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</si>
  <si>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</si>
  <si>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</si>
  <si>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</si>
  <si>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</si>
  <si>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</si>
  <si>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</si>
  <si>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</si>
  <si>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</si>
  <si>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</si>
  <si>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</si>
  <si>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</si>
  <si>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</si>
  <si>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</si>
  <si>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</si>
  <si>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</si>
  <si>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</si>
  <si>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</si>
  <si>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</si>
  <si>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</si>
  <si>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</si>
  <si>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</si>
  <si>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</si>
  <si>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</si>
  <si>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</si>
  <si>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</si>
  <si>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</si>
  <si>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</si>
  <si>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</si>
  <si>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</si>
  <si>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</si>
  <si>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</si>
  <si>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</si>
  <si>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</si>
  <si>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</si>
  <si>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</si>
  <si>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</si>
  <si>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</si>
  <si>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</si>
  <si>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</si>
  <si>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</si>
  <si>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</si>
  <si>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</si>
  <si>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</si>
  <si>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</si>
  <si>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</si>
  <si>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</si>
  <si>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</si>
  <si>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</si>
  <si>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</si>
  <si>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</si>
  <si>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</si>
  <si>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</si>
  <si>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</si>
  <si>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</si>
  <si>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</si>
  <si>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</si>
  <si>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</si>
  <si>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</si>
  <si>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</si>
  <si>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</si>
  <si>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</si>
  <si>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</si>
  <si>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</si>
  <si>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</si>
  <si>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</si>
  <si>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</si>
  <si>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</si>
  <si>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</si>
  <si>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</si>
  <si>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</si>
  <si>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</si>
  <si>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</si>
  <si>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</si>
  <si>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</si>
  <si>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</si>
  <si>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</si>
  <si>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</si>
  <si>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</si>
  <si>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</si>
  <si>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</si>
  <si>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</si>
  <si>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</si>
  <si>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</si>
  <si>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</si>
  <si>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</si>
  <si>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</si>
  <si>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</si>
  <si>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</si>
  <si>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</si>
  <si>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</si>
  <si>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</si>
  <si>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</si>
  <si>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</si>
  <si>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</si>
  <si>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</si>
  <si>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</si>
  <si>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</si>
  <si>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</si>
  <si>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</si>
  <si>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</si>
  <si>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</si>
  <si>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</si>
  <si>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</si>
  <si>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</si>
  <si>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</si>
  <si>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</si>
  <si>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</si>
  <si>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</si>
  <si>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</si>
  <si>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</si>
  <si>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</si>
  <si>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</si>
  <si>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</si>
  <si>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</si>
  <si>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</si>
  <si>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</si>
  <si>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</si>
  <si>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</si>
  <si>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</si>
  <si>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</si>
  <si>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</si>
  <si>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</si>
  <si>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</si>
  <si>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</si>
  <si>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</si>
  <si>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</si>
  <si>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</si>
  <si>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</si>
  <si>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</si>
  <si>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</si>
  <si>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</si>
  <si>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</si>
  <si>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</si>
  <si>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</si>
  <si>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</si>
  <si>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</si>
  <si>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</si>
  <si>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</si>
  <si>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</si>
  <si>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</si>
  <si>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</si>
  <si>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</si>
  <si>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</si>
  <si>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</si>
  <si>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</si>
  <si>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</si>
  <si>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</si>
  <si>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</si>
  <si>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</si>
  <si>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</si>
  <si>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</si>
  <si>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</si>
  <si>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</si>
  <si>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</si>
  <si>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</si>
  <si>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</si>
  <si>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</si>
  <si>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</si>
  <si>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</si>
  <si>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</si>
  <si>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</si>
  <si>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</si>
  <si>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</si>
  <si>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</si>
  <si>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</si>
  <si>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</si>
  <si>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</si>
  <si>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</si>
  <si>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</si>
  <si>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</si>
  <si>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</si>
  <si>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</si>
  <si>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</si>
  <si>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</si>
  <si>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</si>
  <si>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</si>
  <si>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</si>
  <si>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</si>
  <si>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</si>
  <si>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</si>
  <si>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</si>
  <si>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</si>
  <si>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</si>
  <si>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</si>
  <si>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</si>
  <si>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</si>
  <si>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</si>
  <si>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</si>
  <si>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</si>
  <si>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</si>
  <si>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</si>
  <si>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</si>
  <si>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</si>
  <si>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</si>
  <si>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</si>
  <si>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</si>
  <si>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</si>
  <si>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</si>
  <si>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</si>
  <si>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</si>
  <si>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</si>
  <si>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</si>
  <si>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</si>
  <si>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</si>
  <si>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</si>
  <si>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</si>
  <si>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</si>
  <si>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</si>
  <si>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</si>
  <si>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</si>
  <si>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</si>
  <si>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</si>
  <si>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</si>
  <si>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</si>
  <si>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</si>
  <si>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</si>
  <si>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</si>
  <si>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</si>
  <si>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</si>
  <si>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</si>
  <si>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</si>
  <si>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</si>
  <si>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</si>
  <si>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</si>
  <si>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</si>
  <si>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</si>
  <si>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</si>
  <si>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</si>
  <si>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</si>
  <si>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</si>
  <si>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</si>
  <si>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</si>
  <si>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</si>
  <si>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</si>
  <si>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</si>
  <si>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</si>
  <si>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</si>
  <si>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</si>
  <si>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</si>
  <si>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</si>
  <si>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</si>
  <si>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</si>
  <si>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</si>
  <si>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</si>
  <si>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</si>
  <si>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</si>
  <si>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</si>
  <si>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</si>
  <si>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</si>
  <si>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</si>
  <si>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</si>
  <si>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</si>
  <si>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</si>
  <si>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</si>
  <si>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</si>
  <si>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</si>
  <si>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</si>
  <si>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</si>
  <si>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</si>
  <si>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</si>
  <si>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</si>
  <si>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</si>
  <si>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</si>
  <si>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</si>
  <si>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</si>
  <si>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</si>
  <si>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</si>
  <si>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</si>
  <si>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</si>
  <si>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</si>
  <si>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</si>
  <si>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</si>
  <si>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</si>
  <si>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</si>
  <si>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</si>
  <si>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</si>
  <si>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</si>
  <si>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</si>
  <si>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</si>
  <si>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</si>
  <si>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</si>
  <si>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</si>
  <si>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</si>
  <si>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</si>
  <si>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</si>
  <si>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</si>
  <si>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</si>
  <si>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</si>
  <si>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</si>
  <si>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</si>
  <si>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</si>
  <si>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</si>
  <si>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</si>
  <si>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</si>
  <si>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</si>
  <si>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</si>
  <si>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</si>
  <si>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</si>
  <si>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</si>
  <si>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</si>
  <si>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</si>
  <si>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</si>
  <si>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</si>
  <si>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</si>
  <si>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</si>
  <si>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</si>
  <si>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</si>
  <si>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</si>
  <si>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</si>
  <si>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</si>
  <si>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</si>
  <si>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</si>
  <si>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</si>
  <si>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</si>
  <si>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</si>
  <si>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</si>
  <si>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</si>
  <si>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</si>
  <si>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</si>
  <si>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</si>
  <si>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</si>
  <si>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</si>
  <si>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</si>
  <si>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</si>
  <si>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</si>
  <si>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</si>
  <si>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</si>
  <si>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</si>
  <si>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</si>
  <si>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</si>
  <si>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</si>
  <si>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</si>
  <si>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</si>
  <si>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</si>
  <si>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</si>
  <si>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</si>
  <si>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</si>
  <si>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</si>
  <si>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</si>
  <si>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</si>
  <si>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</si>
  <si>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</si>
  <si>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</si>
  <si>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</si>
  <si>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</si>
  <si>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</si>
  <si>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</si>
  <si>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</si>
  <si>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</si>
  <si>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</si>
  <si>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</si>
  <si>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</si>
  <si>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</si>
  <si>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</si>
  <si>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</si>
  <si>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</si>
  <si>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</si>
  <si>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</si>
  <si>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</si>
  <si>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</si>
  <si>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</si>
  <si>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</si>
  <si>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</si>
  <si>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</si>
  <si>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</si>
  <si>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</si>
  <si>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</si>
  <si>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</si>
  <si>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</si>
  <si>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</si>
  <si>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</si>
  <si>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</si>
  <si>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</si>
  <si>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</si>
  <si>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</si>
  <si>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</si>
  <si>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</si>
  <si>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</si>
  <si>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</si>
  <si>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</si>
  <si>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</si>
  <si>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</si>
  <si>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</si>
  <si>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</si>
  <si>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</si>
  <si>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</si>
  <si>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</si>
  <si>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</si>
  <si>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</si>
  <si>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</si>
  <si>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</si>
  <si>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</si>
  <si>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</si>
  <si>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</si>
  <si>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</si>
  <si>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</si>
  <si>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</si>
  <si>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</si>
  <si>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</si>
  <si>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</si>
  <si>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</si>
  <si>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</si>
  <si>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</si>
  <si>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</si>
  <si>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</si>
  <si>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</si>
  <si>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</si>
  <si>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</si>
  <si>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</si>
  <si>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</si>
  <si>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</si>
  <si>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</si>
  <si>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</si>
  <si>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</si>
  <si>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</si>
  <si>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</si>
  <si>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</si>
  <si>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</si>
  <si>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</si>
  <si>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</si>
  <si>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</si>
  <si>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</si>
  <si>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</si>
  <si>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</si>
  <si>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</si>
  <si>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</si>
  <si>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</si>
  <si>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</si>
  <si>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</si>
  <si>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</si>
  <si>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</si>
  <si>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</si>
  <si>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</si>
  <si>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</si>
  <si>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</si>
  <si>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</si>
  <si>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</si>
  <si>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</si>
  <si>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</si>
  <si>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</si>
  <si>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</si>
  <si>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</si>
  <si>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</si>
  <si>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</si>
  <si>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</si>
  <si>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</si>
  <si>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</si>
  <si>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</si>
  <si>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</si>
  <si>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</si>
  <si>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</si>
  <si>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</si>
  <si>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</si>
  <si>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</si>
  <si>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</si>
  <si>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</si>
  <si>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</si>
  <si>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</si>
  <si>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</si>
  <si>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</si>
  <si>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</si>
  <si>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</si>
  <si>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</si>
  <si>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</si>
  <si>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</si>
  <si>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</si>
  <si>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</si>
  <si>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</si>
  <si>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</si>
  <si>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</si>
  <si>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</si>
  <si>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</si>
  <si>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</si>
  <si>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</si>
  <si>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</si>
  <si>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</si>
  <si>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</si>
  <si>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</si>
  <si>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</si>
  <si>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</si>
  <si>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</si>
  <si>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</si>
  <si>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</si>
  <si>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</si>
  <si>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</si>
  <si>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</si>
  <si>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</si>
  <si>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</si>
  <si>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</si>
  <si>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</si>
  <si>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</si>
  <si>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</si>
  <si>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</si>
  <si>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</si>
  <si>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</si>
  <si>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</si>
  <si>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</si>
  <si>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</si>
  <si>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</si>
  <si>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</si>
  <si>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</si>
  <si>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</si>
  <si>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</si>
  <si>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</si>
  <si>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</si>
  <si>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</si>
  <si>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</si>
  <si>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</si>
  <si>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</si>
  <si>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</si>
  <si>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</si>
  <si>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</si>
  <si>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</si>
  <si>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</si>
  <si>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</si>
  <si>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</si>
  <si>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</si>
  <si>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</si>
  <si>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</si>
  <si>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</si>
  <si>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</si>
  <si>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</si>
  <si>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</si>
  <si>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</si>
  <si>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</si>
  <si>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</si>
  <si>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</si>
  <si>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</si>
  <si>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</si>
  <si>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</si>
  <si>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</si>
  <si>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</si>
  <si>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</si>
  <si>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</si>
  <si>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</si>
  <si>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</si>
  <si>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</si>
  <si>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</si>
  <si>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</si>
  <si>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</si>
  <si>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</si>
  <si>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</si>
  <si>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</si>
  <si>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</si>
  <si>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</si>
  <si>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</si>
  <si>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</si>
  <si>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</si>
  <si>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</si>
  <si>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</si>
  <si>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</si>
  <si>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</si>
  <si>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</si>
  <si>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</si>
  <si>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</si>
  <si>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</si>
  <si>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</si>
  <si>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</si>
  <si>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</si>
  <si>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</si>
  <si>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</si>
  <si>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</si>
  <si>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</si>
  <si>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</si>
  <si>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</si>
  <si>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</si>
  <si>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</si>
  <si>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</si>
  <si>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</si>
  <si>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</si>
  <si>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</si>
  <si>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</si>
  <si>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</si>
  <si>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</si>
  <si>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</si>
  <si>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</si>
  <si>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</si>
  <si>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</si>
  <si>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</si>
  <si>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</si>
  <si>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</si>
  <si>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</si>
  <si>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</si>
  <si>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</si>
  <si>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</si>
  <si>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</si>
  <si>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</si>
  <si>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</si>
  <si>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</si>
  <si>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</si>
  <si>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</si>
  <si>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</si>
  <si>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</si>
  <si>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</si>
  <si>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</si>
  <si>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</si>
  <si>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</si>
  <si>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</si>
  <si>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</si>
  <si>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</si>
  <si>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</si>
  <si>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</si>
  <si>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</si>
  <si>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</si>
  <si>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</si>
  <si>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</si>
  <si>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</si>
  <si>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</si>
  <si>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</si>
  <si>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</si>
  <si>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</si>
  <si>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</si>
  <si>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</si>
  <si>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</si>
  <si>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</si>
  <si>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</si>
  <si>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</si>
  <si>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</si>
  <si>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</si>
  <si>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</si>
  <si>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</si>
  <si>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</si>
  <si>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</si>
  <si>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</si>
  <si>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</si>
  <si>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</si>
  <si>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</si>
  <si>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</si>
  <si>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</si>
  <si>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</si>
  <si>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</si>
  <si>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</si>
  <si>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</si>
  <si>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</si>
  <si>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</si>
  <si>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</si>
  <si>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</si>
  <si>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</si>
  <si>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</si>
  <si>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</si>
  <si>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</si>
  <si>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</si>
  <si>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</si>
  <si>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</si>
  <si>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</si>
  <si>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</si>
  <si>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</si>
  <si>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</si>
  <si>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</si>
  <si>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</si>
  <si>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</si>
  <si>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</si>
  <si>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</si>
  <si>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</si>
  <si>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</si>
  <si>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</si>
  <si>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</si>
  <si>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</si>
  <si>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</si>
  <si>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</si>
  <si>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</si>
  <si>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</si>
  <si>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</si>
  <si>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</si>
  <si>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</si>
  <si>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</si>
  <si>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</si>
  <si>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</si>
  <si>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</si>
  <si>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</si>
  <si>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</si>
  <si>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</si>
  <si>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</si>
  <si>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</si>
  <si>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</si>
  <si>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</si>
  <si>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</si>
  <si>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</si>
  <si>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</si>
  <si>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</si>
  <si>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</si>
  <si>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</si>
  <si>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</si>
  <si>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</si>
  <si>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</si>
  <si>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</si>
  <si>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</si>
  <si>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</si>
  <si>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</si>
  <si>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</si>
  <si>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</si>
  <si>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</si>
  <si>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</si>
  <si>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</si>
  <si>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</si>
  <si>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</si>
  <si>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</si>
  <si>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</si>
  <si>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</si>
  <si>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</si>
  <si>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</si>
  <si>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</si>
  <si>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</si>
  <si>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</si>
  <si>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</si>
  <si>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</si>
  <si>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</si>
  <si>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</si>
  <si>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</si>
  <si>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</si>
  <si>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</si>
  <si>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</si>
  <si>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</si>
  <si>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</si>
  <si>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</si>
  <si>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</si>
  <si>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</si>
  <si>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</si>
  <si>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</si>
  <si>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</si>
  <si>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</si>
  <si>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</si>
  <si>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</si>
  <si>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</si>
  <si>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</si>
  <si>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</si>
  <si>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</si>
  <si>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</si>
  <si>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</si>
  <si>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</si>
  <si>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</si>
  <si>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</si>
  <si>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</si>
  <si>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</si>
  <si>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</si>
  <si>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</si>
  <si>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</si>
  <si>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</si>
  <si>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</si>
  <si>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</si>
  <si>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</si>
  <si>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</si>
  <si>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</si>
  <si>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</si>
  <si>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</si>
  <si>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</si>
  <si>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</si>
  <si>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</si>
  <si>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</si>
  <si>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</si>
  <si>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</si>
  <si>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</si>
  <si>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</si>
  <si>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</si>
  <si>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</si>
  <si>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</si>
  <si>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</si>
  <si>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</si>
  <si>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</si>
  <si>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</si>
  <si>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</si>
  <si>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</si>
  <si>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</si>
  <si>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</si>
  <si>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</si>
  <si>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</si>
  <si>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</si>
  <si>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</si>
  <si>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</si>
  <si>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</si>
  <si>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</si>
  <si>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</si>
  <si>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</si>
  <si>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</si>
  <si>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</si>
  <si>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</si>
  <si>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</si>
  <si>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</si>
  <si>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</si>
  <si>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</si>
  <si>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</si>
  <si>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</si>
  <si>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</si>
  <si>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</si>
  <si>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</si>
  <si>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</si>
  <si>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</si>
  <si>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</si>
  <si>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</si>
  <si>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</si>
  <si>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</si>
  <si>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</si>
  <si>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</si>
  <si>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</si>
  <si>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</si>
  <si>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</si>
  <si>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</si>
  <si>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</si>
  <si>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</si>
  <si>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</si>
  <si>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</si>
  <si>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</si>
  <si>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</si>
  <si>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</si>
  <si>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</si>
  <si>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</si>
  <si>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</si>
  <si>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</si>
  <si>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</si>
  <si>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</si>
  <si>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</si>
  <si>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</si>
  <si>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</si>
  <si>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</si>
  <si>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</si>
  <si>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</si>
  <si>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</si>
  <si>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</si>
  <si>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</si>
  <si>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</si>
  <si>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</si>
  <si>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</si>
  <si>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</si>
  <si>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</si>
  <si>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</si>
  <si>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</si>
  <si>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</si>
  <si>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</si>
  <si>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</si>
  <si>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</si>
  <si>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</si>
  <si>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</si>
  <si>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</si>
  <si>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</si>
  <si>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</si>
  <si>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</si>
  <si>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</si>
  <si>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</si>
  <si>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</si>
  <si>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</si>
  <si>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</si>
  <si>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</si>
  <si>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</si>
  <si>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</si>
  <si>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</si>
  <si>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</si>
  <si>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</si>
  <si>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</si>
  <si>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</si>
  <si>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</si>
  <si>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</si>
  <si>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</si>
  <si>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</si>
  <si>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</si>
  <si>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</si>
  <si>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</si>
  <si>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</si>
  <si>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</si>
  <si>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</si>
  <si>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</si>
  <si>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</si>
  <si>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</si>
  <si>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</si>
  <si>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</si>
  <si>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</si>
  <si>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</si>
  <si>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</si>
  <si>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</si>
  <si>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</si>
  <si>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</si>
  <si>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</si>
  <si>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</si>
  <si>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</si>
  <si>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</si>
  <si>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</si>
  <si>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</si>
  <si>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</si>
  <si>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</si>
  <si>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</si>
  <si>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</si>
  <si>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</si>
  <si>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</si>
  <si>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</si>
  <si>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</si>
  <si>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</si>
  <si>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</si>
  <si>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</si>
  <si>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</si>
  <si>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</si>
  <si>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</si>
  <si>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</si>
  <si>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</si>
  <si>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</si>
  <si>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</si>
  <si>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</si>
  <si>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</si>
  <si>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</si>
  <si>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</si>
  <si>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</si>
  <si>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</si>
  <si>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</si>
  <si>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</si>
  <si>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</si>
  <si>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</si>
  <si>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</si>
  <si>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</si>
  <si>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</si>
  <si>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</si>
  <si>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</si>
  <si>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</si>
  <si>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</si>
  <si>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</si>
  <si>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</si>
  <si>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</si>
  <si>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</si>
  <si>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</si>
  <si>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</si>
  <si>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</si>
  <si>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</si>
  <si>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</si>
  <si>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</si>
  <si>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</si>
  <si>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</si>
  <si>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</si>
  <si>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</si>
  <si>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</si>
  <si>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</si>
  <si>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</si>
  <si>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</si>
  <si>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</si>
  <si>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</si>
  <si>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</si>
  <si>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</si>
  <si>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</si>
  <si>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</si>
  <si>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</si>
  <si>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</si>
  <si>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</si>
  <si>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</si>
  <si>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</si>
  <si>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</si>
  <si>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</si>
  <si>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</si>
  <si>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</si>
  <si>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</si>
  <si>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</si>
  <si>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</si>
  <si>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</si>
  <si>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</si>
  <si>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</si>
  <si>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</si>
  <si>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</si>
  <si>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</si>
  <si>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</si>
  <si>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</si>
  <si>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</si>
  <si>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</si>
  <si>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</si>
  <si>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</si>
  <si>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</si>
  <si>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</si>
  <si>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</si>
  <si>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</si>
  <si>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</si>
  <si>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</si>
  <si>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</si>
  <si>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</si>
  <si>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</si>
  <si>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</si>
  <si>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</si>
  <si>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</si>
  <si>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</si>
  <si>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</si>
  <si>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</si>
  <si>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</si>
  <si>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</si>
  <si>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</si>
  <si>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</si>
  <si>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</si>
  <si>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</si>
  <si>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</si>
  <si>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</si>
  <si>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</si>
  <si>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</si>
  <si>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</si>
  <si>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</si>
  <si>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</si>
  <si>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</si>
  <si>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</si>
  <si>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</si>
  <si>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</si>
  <si>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</si>
  <si>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</si>
  <si>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</si>
  <si>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</si>
  <si>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</si>
  <si>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</si>
  <si>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</si>
  <si>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</si>
  <si>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</si>
  <si>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</si>
  <si>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</si>
  <si>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</si>
  <si>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</si>
  <si>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</si>
  <si>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</si>
  <si>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</si>
  <si>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</si>
  <si>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</si>
  <si>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</si>
  <si>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</si>
  <si>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</si>
  <si>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</si>
  <si>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</si>
  <si>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</si>
  <si>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</si>
  <si>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</si>
  <si>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</si>
  <si>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</si>
  <si>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</si>
  <si>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</si>
  <si>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</si>
  <si>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</si>
  <si>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</si>
  <si>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</si>
  <si>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</si>
  <si>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</si>
  <si>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</si>
  <si>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</si>
  <si>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</si>
  <si>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</si>
  <si>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</si>
  <si>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</si>
  <si>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</si>
  <si>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</si>
  <si>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</si>
  <si>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</si>
  <si>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</si>
  <si>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</si>
  <si>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</si>
  <si>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</si>
  <si>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</si>
  <si>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</si>
  <si>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</si>
  <si>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</si>
  <si>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</si>
  <si>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</si>
  <si>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</si>
  <si>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</si>
  <si>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</si>
  <si>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</si>
  <si>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</si>
  <si>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</si>
  <si>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</si>
  <si>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</si>
  <si>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</si>
  <si>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</si>
  <si>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</si>
  <si>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</si>
  <si>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</si>
  <si>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</si>
  <si>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</si>
  <si>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</si>
  <si>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</si>
  <si>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</si>
  <si>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</si>
  <si>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</si>
  <si>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</si>
  <si>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</si>
  <si>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</si>
  <si>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</si>
  <si>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</si>
  <si>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</si>
  <si>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</si>
  <si>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</si>
  <si>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</si>
  <si>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</si>
  <si>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</si>
  <si>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</si>
  <si>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</si>
  <si>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</si>
  <si>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</si>
  <si>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</si>
  <si>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</si>
  <si>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</si>
  <si>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</si>
  <si>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</si>
  <si>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</si>
  <si>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</si>
  <si>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</si>
  <si>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</si>
  <si>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</si>
  <si>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</si>
  <si>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</si>
  <si>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</si>
  <si>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</si>
  <si>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</si>
  <si>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</si>
  <si>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</si>
  <si>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</si>
  <si>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</si>
  <si>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</si>
  <si>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</si>
  <si>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</si>
  <si>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</si>
  <si>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</si>
  <si>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</si>
  <si>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</si>
  <si>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</si>
  <si>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</si>
  <si>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</si>
  <si>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</si>
  <si>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</si>
  <si>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</si>
  <si>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</si>
  <si>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</si>
  <si>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</si>
  <si>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</si>
  <si>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</si>
  <si>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</si>
  <si>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</si>
  <si>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</si>
  <si>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</si>
  <si>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</si>
  <si>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</si>
  <si>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</si>
  <si>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</si>
  <si>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</si>
  <si>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</si>
  <si>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</si>
  <si>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</si>
  <si>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</si>
  <si>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</si>
  <si>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</si>
  <si>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</si>
  <si>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</si>
  <si>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</si>
  <si>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</si>
  <si>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</si>
  <si>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</si>
  <si>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</si>
  <si>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</si>
  <si>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</si>
  <si>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</si>
  <si>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</si>
  <si>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</si>
  <si>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</si>
  <si>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</si>
  <si>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</si>
  <si>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</si>
  <si>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</si>
  <si>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</si>
  <si>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</si>
  <si>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</si>
  <si>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</si>
  <si>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</si>
  <si>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</si>
  <si>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</si>
  <si>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</si>
  <si>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</si>
  <si>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</si>
  <si>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</si>
  <si>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</si>
  <si>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</si>
  <si>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</si>
  <si>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</si>
  <si>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</si>
  <si>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</si>
  <si>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</si>
  <si>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</si>
  <si>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</si>
  <si>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</si>
  <si>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</si>
  <si>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</si>
  <si>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</si>
  <si>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</si>
  <si>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</si>
  <si>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</si>
  <si>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</si>
  <si>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</si>
  <si>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</si>
  <si>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</si>
  <si>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</si>
  <si>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</si>
  <si>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</si>
  <si>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</si>
  <si>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</si>
  <si>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</si>
  <si>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</si>
  <si>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</si>
  <si>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</si>
  <si>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</si>
  <si>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</si>
  <si>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</si>
  <si>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</si>
  <si>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</si>
  <si>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</si>
  <si>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</si>
  <si>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</si>
  <si>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</si>
  <si>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</si>
  <si>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</si>
  <si>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</si>
  <si>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</si>
  <si>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</si>
  <si>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</si>
  <si>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</si>
  <si>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</si>
  <si>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</si>
  <si>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</si>
  <si>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</si>
  <si>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</si>
  <si>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</si>
  <si>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</si>
  <si>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</si>
  <si>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</si>
  <si>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</si>
  <si>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</si>
  <si>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</si>
  <si>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</si>
  <si>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</si>
  <si>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</si>
  <si>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</si>
  <si>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</si>
  <si>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</si>
  <si>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</si>
  <si>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</si>
  <si>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</si>
  <si>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</si>
  <si>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</si>
  <si>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</si>
  <si>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</si>
  <si>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</si>
  <si>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</si>
  <si>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</si>
  <si>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</si>
  <si>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</si>
  <si>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</si>
  <si>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</si>
  <si>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</si>
  <si>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</si>
  <si>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</si>
  <si>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</si>
  <si>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</si>
  <si>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</si>
  <si>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</si>
  <si>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</si>
  <si>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</si>
  <si>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</si>
  <si>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</si>
  <si>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</si>
  <si>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</si>
  <si>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</si>
  <si>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</si>
  <si>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</si>
  <si>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</si>
  <si>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</si>
  <si>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</si>
  <si>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</si>
  <si>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</si>
  <si>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</si>
  <si>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</si>
  <si>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</si>
  <si>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</si>
  <si>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</si>
  <si>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</si>
  <si>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</si>
  <si>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</si>
  <si>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</si>
  <si>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</si>
  <si>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</si>
  <si>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</si>
  <si>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</si>
  <si>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</si>
  <si>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</si>
  <si>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</si>
  <si>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</si>
  <si>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</si>
  <si>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</si>
  <si>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</si>
  <si>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</si>
  <si>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</si>
  <si>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</si>
  <si>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</si>
  <si>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</si>
  <si>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</si>
  <si>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</si>
  <si>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</si>
  <si>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</si>
  <si>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</si>
  <si>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</si>
  <si>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</si>
  <si>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</si>
  <si>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</si>
  <si>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</si>
  <si>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</si>
  <si>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</si>
  <si>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</si>
  <si>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</si>
  <si>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</si>
  <si>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</si>
  <si>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</si>
  <si>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</si>
  <si>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</si>
  <si>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</si>
  <si>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</si>
  <si>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</si>
  <si>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</si>
  <si>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</si>
  <si>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</si>
  <si>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</si>
  <si>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</si>
  <si>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</si>
  <si>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</si>
  <si>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</si>
  <si>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</si>
  <si>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</si>
  <si>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</si>
  <si>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</si>
  <si>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</si>
  <si>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</si>
  <si>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</si>
  <si>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</si>
  <si>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</si>
  <si>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</si>
  <si>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</si>
  <si>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</si>
  <si>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</si>
  <si>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</si>
  <si>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</si>
  <si>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</si>
  <si>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</si>
  <si>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</si>
  <si>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</si>
  <si>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</si>
  <si>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</si>
  <si>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</si>
  <si>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</si>
  <si>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</si>
  <si>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</si>
  <si>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</si>
  <si>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</si>
  <si>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</si>
  <si>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</si>
  <si>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</si>
  <si>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</si>
  <si>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</si>
  <si>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</si>
  <si>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</si>
  <si>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</si>
  <si>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</si>
  <si>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</si>
  <si>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</si>
  <si>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</si>
  <si>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</si>
  <si>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</si>
  <si>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</si>
  <si>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</si>
  <si>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</si>
  <si>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</si>
  <si>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</si>
  <si>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</si>
  <si>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</si>
  <si>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</si>
  <si>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</si>
  <si>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</si>
  <si>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</si>
  <si>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</si>
  <si>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</si>
  <si>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</si>
  <si>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</si>
  <si>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</si>
  <si>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</si>
  <si>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</si>
  <si>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</si>
  <si>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</si>
  <si>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</si>
  <si>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</si>
  <si>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</si>
  <si>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</si>
  <si>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</si>
  <si>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</si>
  <si>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</si>
  <si>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</si>
  <si>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</si>
  <si>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</si>
  <si>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</si>
  <si>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</si>
  <si>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</si>
  <si>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</si>
  <si>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</si>
  <si>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</si>
  <si>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</si>
  <si>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</si>
  <si>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</si>
  <si>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</si>
  <si>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</si>
  <si>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</si>
  <si>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</si>
  <si>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</si>
  <si>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</si>
  <si>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</si>
  <si>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</si>
  <si>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</si>
  <si>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</si>
  <si>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</si>
  <si>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</si>
  <si>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</si>
  <si>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</si>
  <si>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</si>
  <si>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</si>
  <si>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</si>
  <si>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</si>
  <si>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</si>
  <si>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</si>
  <si>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</si>
  <si>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</si>
  <si>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</si>
  <si>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</si>
  <si>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</si>
  <si>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</si>
  <si>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</si>
  <si>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</si>
  <si>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</si>
  <si>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</si>
  <si>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</si>
  <si>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</si>
  <si>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</si>
  <si>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</si>
  <si>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</si>
  <si>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</si>
  <si>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</si>
  <si>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</si>
  <si>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</si>
  <si>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</si>
  <si>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</si>
  <si>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</si>
  <si>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</si>
  <si>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</si>
  <si>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</si>
  <si>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</si>
  <si>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</si>
  <si>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</si>
  <si>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</si>
  <si>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</si>
  <si>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</si>
  <si>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</si>
  <si>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</si>
  <si>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</si>
  <si>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</si>
  <si>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</si>
  <si>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</si>
  <si>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</si>
  <si>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</si>
  <si>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</si>
  <si>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</si>
  <si>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</si>
  <si>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</si>
  <si>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</si>
  <si>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</si>
  <si>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</si>
  <si>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</si>
  <si>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</si>
  <si>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</si>
  <si>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</si>
  <si>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</si>
  <si>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</si>
  <si>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</si>
  <si>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</si>
  <si>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</si>
  <si>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</si>
  <si>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</si>
  <si>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</si>
  <si>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</si>
  <si>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</si>
  <si>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</si>
  <si>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</si>
  <si>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</si>
  <si>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</si>
  <si>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</si>
  <si>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</si>
  <si>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</si>
  <si>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</si>
  <si>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</si>
  <si>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</si>
  <si>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</si>
  <si>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</si>
  <si>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</si>
  <si>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</si>
  <si>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</si>
  <si>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</si>
  <si>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</si>
  <si>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</si>
  <si>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</si>
  <si>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</si>
  <si>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</si>
  <si>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</si>
  <si>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</si>
  <si>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</si>
  <si>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</si>
  <si>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</si>
  <si>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</si>
  <si>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</si>
  <si>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</si>
  <si>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</si>
  <si>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</si>
  <si>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</si>
  <si>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</si>
  <si>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</si>
  <si>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</si>
  <si>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</si>
  <si>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</si>
  <si>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</si>
  <si>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</si>
  <si>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</si>
  <si>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</si>
  <si>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</si>
  <si>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</si>
  <si>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</si>
  <si>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</si>
  <si>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</si>
  <si>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</si>
  <si>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</si>
  <si>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</si>
  <si>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</si>
  <si>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</si>
  <si>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</si>
  <si>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</si>
  <si>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</si>
  <si>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</si>
  <si>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</si>
  <si>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</si>
  <si>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</si>
  <si>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</si>
  <si>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</si>
  <si>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</si>
  <si>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</si>
  <si>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</si>
  <si>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</si>
  <si>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</si>
  <si>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</si>
  <si>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</si>
  <si>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</si>
  <si>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</si>
  <si>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</si>
  <si>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</si>
  <si>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</si>
  <si>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</si>
  <si>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</si>
  <si>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</si>
  <si>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</si>
  <si>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</si>
  <si>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</si>
  <si>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</si>
  <si>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</si>
  <si>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</si>
  <si>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</si>
  <si>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</si>
  <si>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</si>
  <si>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</si>
  <si>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</si>
  <si>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</si>
  <si>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</si>
  <si>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</si>
  <si>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</si>
  <si>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</si>
  <si>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</si>
  <si>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</si>
  <si>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</si>
  <si>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</si>
  <si>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</si>
  <si>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</si>
  <si>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</si>
  <si>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</si>
  <si>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</si>
  <si>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</si>
  <si>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</si>
  <si>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</si>
  <si>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</si>
  <si>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</si>
  <si>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</si>
  <si>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</si>
  <si>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</si>
  <si>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</si>
  <si>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</si>
  <si>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</si>
  <si>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</si>
  <si>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</si>
  <si>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</si>
  <si>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</si>
  <si>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</si>
  <si>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</si>
  <si>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</si>
  <si>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</si>
  <si>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</si>
  <si>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</si>
  <si>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</si>
  <si>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</si>
  <si>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</si>
  <si>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</si>
  <si>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</si>
  <si>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</si>
  <si>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</si>
  <si>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</si>
  <si>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</si>
  <si>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</si>
  <si>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</si>
  <si>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</si>
  <si>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</si>
  <si>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</si>
  <si>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</si>
  <si>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</si>
  <si>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</si>
  <si>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</si>
  <si>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</si>
  <si>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</si>
  <si>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</si>
  <si>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</si>
  <si>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</si>
  <si>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</si>
  <si>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</si>
  <si>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</si>
  <si>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</si>
  <si>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</si>
  <si>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</si>
  <si>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</si>
  <si>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</si>
  <si>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</si>
  <si>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</si>
  <si>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</si>
  <si>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</si>
  <si>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</si>
  <si>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</si>
  <si>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</si>
  <si>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</si>
  <si>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</si>
  <si>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</si>
  <si>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</si>
  <si>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</si>
  <si>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</si>
  <si>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</si>
  <si>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</si>
  <si>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</si>
  <si>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</si>
  <si>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</si>
  <si>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</si>
  <si>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</si>
  <si>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</si>
  <si>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</si>
  <si>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</si>
  <si>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</si>
  <si>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</si>
  <si>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</si>
  <si>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</si>
  <si>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</si>
  <si>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</si>
  <si>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</si>
  <si>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</si>
  <si>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</si>
  <si>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</si>
  <si>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</si>
  <si>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</si>
  <si>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</si>
  <si>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</si>
  <si>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</si>
  <si>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</si>
  <si>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</si>
  <si>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</si>
  <si>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</si>
  <si>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</si>
  <si>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</si>
  <si>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</si>
  <si>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</si>
  <si>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</si>
  <si>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</si>
  <si>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</si>
  <si>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</si>
  <si>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</si>
  <si>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</si>
  <si>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</si>
  <si>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</si>
  <si>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</si>
  <si>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</si>
  <si>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</si>
  <si>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</si>
  <si>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</si>
  <si>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</si>
  <si>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</si>
  <si>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</si>
  <si>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</si>
  <si>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</si>
  <si>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</si>
  <si>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</si>
  <si>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</si>
  <si>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</si>
  <si>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</si>
  <si>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</si>
  <si>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</si>
  <si>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</si>
  <si>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</si>
  <si>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</si>
  <si>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</si>
  <si>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</si>
  <si>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</si>
  <si>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</si>
  <si>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</si>
  <si>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</si>
  <si>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</si>
  <si>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</si>
  <si>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</si>
  <si>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</si>
  <si>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</si>
  <si>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</si>
  <si>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</si>
  <si>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</si>
  <si>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</si>
  <si>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</si>
  <si>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</si>
  <si>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</si>
  <si>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</si>
  <si>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</si>
  <si>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</si>
  <si>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</si>
  <si>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</si>
  <si>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</si>
  <si>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</si>
  <si>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</si>
  <si>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</si>
  <si>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</si>
  <si>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</si>
  <si>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</si>
  <si>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</si>
  <si>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</si>
  <si>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</si>
  <si>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</si>
  <si>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</si>
  <si>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</si>
  <si>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</si>
  <si>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</si>
  <si>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</si>
  <si>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</si>
  <si>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</si>
  <si>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</si>
  <si>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</si>
  <si>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</si>
  <si>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</si>
  <si>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</si>
  <si>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</si>
  <si>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</si>
  <si>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</si>
  <si>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</si>
  <si>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</si>
  <si>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</si>
  <si>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</si>
  <si>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</si>
  <si>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</si>
  <si>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</si>
  <si>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</si>
  <si>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</si>
  <si>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</si>
  <si>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</si>
  <si>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</si>
  <si>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</si>
  <si>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</si>
  <si>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</si>
  <si>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</si>
  <si>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</si>
  <si>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</si>
  <si>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</si>
  <si>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</si>
  <si>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</si>
  <si>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</si>
  <si>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</si>
  <si>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</si>
  <si>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</si>
  <si>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</si>
  <si>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</si>
  <si>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</si>
  <si>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</si>
  <si>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</si>
  <si>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</si>
  <si>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</si>
  <si>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</si>
  <si>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</si>
  <si>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</si>
  <si>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</si>
  <si>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</si>
  <si>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</si>
  <si>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</si>
  <si>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</si>
  <si>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</si>
  <si>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</si>
  <si>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</si>
  <si>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</si>
  <si>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</si>
  <si>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</si>
  <si>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</si>
  <si>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</si>
  <si>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</si>
  <si>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</si>
  <si>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</si>
  <si>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</si>
  <si>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</si>
  <si>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</si>
  <si>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</si>
  <si>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</si>
  <si>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</si>
  <si>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</si>
  <si>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</si>
  <si>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</si>
  <si>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</si>
  <si>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</si>
  <si>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</si>
  <si>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</si>
  <si>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</si>
  <si>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</si>
  <si>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</si>
  <si>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</si>
  <si>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</si>
  <si>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</si>
  <si>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</si>
  <si>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</si>
  <si>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</si>
  <si>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</si>
  <si>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</si>
  <si>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</si>
  <si>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</si>
  <si>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</si>
  <si>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</si>
  <si>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</si>
  <si>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</si>
  <si>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</si>
  <si>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</si>
  <si>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</si>
  <si>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</si>
  <si>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</si>
  <si>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</si>
  <si>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</si>
  <si>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</si>
  <si>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</si>
  <si>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</si>
  <si>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</si>
  <si>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</si>
  <si>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</si>
  <si>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</si>
  <si>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</si>
  <si>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</si>
  <si>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</si>
  <si>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</si>
  <si>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</si>
  <si>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</si>
  <si>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</si>
  <si>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</si>
  <si>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</si>
  <si>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</si>
  <si>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</si>
  <si>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</si>
  <si>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</si>
  <si>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</si>
  <si>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</si>
  <si>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</si>
  <si>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</si>
  <si>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</si>
  <si>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</si>
  <si>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</si>
  <si>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</si>
  <si>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</si>
  <si>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</si>
  <si>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</si>
  <si>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</si>
  <si>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</si>
  <si>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</si>
  <si>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</si>
  <si>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</si>
  <si>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</si>
  <si>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</si>
  <si>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</si>
  <si>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</si>
  <si>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</si>
  <si>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</si>
  <si>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</si>
  <si>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</si>
  <si>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</si>
  <si>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</si>
  <si>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</si>
  <si>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</si>
  <si>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</si>
  <si>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</si>
  <si>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</si>
  <si>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</si>
  <si>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</si>
  <si>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</si>
  <si>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</si>
  <si>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</si>
  <si>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</si>
  <si>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</si>
  <si>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</si>
  <si>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</si>
  <si>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</si>
  <si>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</si>
  <si>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</si>
  <si>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</si>
  <si>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</si>
  <si>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</si>
  <si>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</si>
  <si>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</si>
  <si>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</si>
  <si>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</si>
  <si>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</si>
  <si>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</si>
  <si>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</si>
  <si>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</si>
  <si>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</si>
  <si>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</si>
  <si>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</si>
  <si>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</si>
  <si>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</si>
  <si>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</si>
  <si>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</si>
  <si>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</si>
  <si>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</si>
  <si>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</si>
  <si>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</si>
  <si>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</si>
  <si>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</si>
  <si>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</si>
  <si>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</si>
  <si>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</si>
  <si>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</si>
  <si>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</si>
  <si>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</si>
  <si>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</si>
  <si>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</si>
  <si>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</si>
  <si>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</si>
  <si>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</si>
  <si>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</si>
  <si>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</si>
  <si>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</si>
  <si>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</si>
  <si>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</si>
  <si>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</si>
  <si>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</si>
  <si>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</si>
  <si>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</si>
  <si>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</si>
  <si>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</si>
  <si>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</si>
  <si>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</si>
  <si>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</si>
  <si>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</si>
  <si>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</si>
  <si>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</si>
  <si>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</si>
  <si>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</si>
  <si>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</si>
  <si>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</si>
  <si>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</si>
  <si>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</si>
  <si>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</si>
  <si>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</si>
  <si>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</si>
  <si>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</si>
  <si>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</si>
  <si>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</si>
  <si>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</si>
  <si>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</si>
  <si>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</si>
  <si>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</si>
  <si>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</si>
  <si>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</si>
  <si>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</si>
  <si>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</si>
  <si>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</si>
  <si>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</si>
  <si>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</si>
  <si>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</si>
  <si>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</si>
  <si>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</si>
  <si>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</si>
  <si>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</si>
  <si>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</si>
  <si>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</si>
  <si>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</si>
  <si>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</si>
  <si>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</si>
  <si>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</si>
  <si>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</si>
  <si>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</si>
  <si>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</si>
  <si>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</si>
  <si>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</si>
  <si>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</si>
  <si>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</si>
  <si>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</si>
  <si>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</si>
  <si>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</si>
  <si>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</si>
  <si>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</si>
  <si>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</si>
  <si>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</si>
  <si>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</si>
  <si>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</si>
  <si>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</si>
  <si>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</si>
  <si>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</si>
  <si>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</si>
  <si>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</si>
  <si>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</si>
  <si>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</si>
  <si>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</si>
  <si>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</si>
  <si>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</si>
  <si>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</si>
  <si>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</si>
  <si>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</si>
  <si>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</si>
  <si>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</si>
  <si>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</si>
  <si>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</si>
  <si>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</si>
  <si>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</si>
  <si>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</si>
  <si>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</si>
  <si>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</si>
  <si>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</si>
  <si>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</si>
  <si>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</si>
  <si>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</si>
  <si>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</si>
  <si>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</si>
  <si>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</si>
  <si>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</si>
  <si>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</si>
  <si>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</si>
  <si>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</si>
  <si>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</si>
  <si>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</si>
  <si>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</si>
  <si>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</si>
  <si>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</si>
  <si>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</si>
  <si>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</si>
  <si>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</si>
  <si>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</si>
  <si>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</si>
  <si>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</si>
  <si>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</si>
  <si>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</si>
  <si>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</si>
  <si>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</si>
  <si>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</si>
  <si>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</si>
  <si>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</si>
  <si>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</si>
  <si>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</si>
  <si>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</si>
  <si>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</si>
  <si>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</si>
  <si>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</si>
  <si>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</si>
  <si>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</si>
  <si>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</si>
  <si>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</si>
  <si>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</si>
  <si>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</si>
  <si>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</si>
  <si>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</si>
  <si>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</si>
  <si>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</si>
  <si>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</si>
  <si>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</si>
  <si>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</si>
  <si>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</si>
  <si>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</si>
  <si>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</si>
  <si>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</si>
  <si>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</si>
  <si>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</si>
  <si>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</si>
  <si>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</si>
  <si>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</si>
  <si>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</si>
  <si>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</si>
  <si>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</si>
  <si>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</si>
  <si>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</si>
  <si>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</si>
  <si>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</si>
  <si>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</si>
  <si>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</si>
  <si>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</si>
  <si>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</si>
  <si>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</si>
  <si>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</si>
  <si>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</si>
  <si>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</si>
  <si>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</si>
  <si>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</si>
  <si>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</si>
  <si>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</si>
  <si>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</si>
  <si>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</si>
  <si>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</si>
  <si>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</si>
  <si>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</si>
  <si>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</si>
  <si>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</si>
  <si>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</si>
  <si>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</si>
  <si>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</si>
  <si>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</si>
  <si>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</si>
  <si>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</si>
  <si>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</si>
  <si>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</si>
  <si>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</si>
  <si>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</si>
  <si>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</si>
  <si>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</si>
  <si>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</si>
  <si>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</si>
  <si>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</si>
  <si>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</si>
  <si>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</si>
  <si>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</si>
  <si>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</si>
  <si>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</si>
  <si>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</si>
  <si>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</si>
  <si>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</si>
  <si>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</si>
  <si>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</si>
  <si>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</si>
  <si>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</si>
  <si>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</si>
  <si>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</si>
  <si>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</si>
  <si>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</si>
  <si>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</si>
  <si>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</si>
  <si>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</si>
  <si>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</si>
  <si>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</si>
  <si>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</si>
  <si>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</si>
  <si>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</si>
  <si>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</si>
  <si>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</si>
  <si>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</si>
  <si>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</si>
  <si>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</si>
  <si>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</si>
  <si>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</si>
  <si>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</si>
  <si>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</si>
  <si>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</si>
  <si>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</si>
  <si>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</si>
  <si>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</si>
  <si>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</si>
  <si>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</si>
  <si>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</si>
  <si>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</si>
  <si>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</si>
  <si>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</si>
  <si>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</si>
  <si>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</si>
  <si>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</si>
  <si>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</si>
  <si>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</si>
  <si>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</si>
  <si>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</si>
  <si>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</si>
  <si>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</si>
  <si>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</si>
  <si>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</si>
  <si>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</si>
  <si>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</si>
  <si>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</si>
  <si>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</si>
  <si>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</si>
  <si>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</si>
  <si>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</si>
  <si>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</si>
  <si>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</si>
  <si>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</si>
  <si>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</si>
  <si>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</si>
  <si>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</si>
  <si>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</si>
  <si>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</si>
  <si>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</si>
  <si>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</si>
  <si>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</si>
  <si>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</si>
  <si>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</si>
  <si>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</si>
  <si>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</si>
  <si>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</si>
  <si>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</si>
  <si>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</si>
  <si>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</si>
  <si>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</si>
  <si>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</si>
  <si>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</si>
  <si>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</si>
  <si>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</si>
  <si>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</si>
  <si>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</si>
  <si>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</si>
  <si>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</si>
  <si>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</si>
  <si>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</si>
  <si>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</si>
  <si>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</si>
  <si>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</si>
  <si>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</si>
  <si>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</si>
  <si>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</si>
  <si>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</si>
  <si>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</si>
  <si>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</si>
  <si>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</si>
  <si>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</si>
  <si>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</si>
  <si>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</si>
  <si>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</si>
  <si>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</si>
  <si>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</si>
  <si>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</si>
  <si>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</si>
  <si>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</si>
  <si>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</si>
  <si>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</si>
  <si>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</si>
  <si>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</si>
  <si>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</si>
  <si>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</si>
  <si>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</si>
  <si>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</si>
  <si>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</si>
  <si>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</si>
  <si>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</si>
  <si>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</si>
  <si>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</si>
  <si>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</si>
  <si>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</si>
  <si>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</si>
  <si>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</si>
  <si>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</si>
  <si>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</si>
  <si>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</si>
  <si>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</si>
  <si>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</si>
  <si>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</si>
  <si>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</si>
  <si>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</si>
  <si>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</si>
  <si>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</si>
  <si>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</si>
  <si>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</si>
  <si>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</si>
  <si>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</si>
  <si>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</si>
  <si>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</si>
  <si>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</si>
  <si>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</si>
  <si>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</si>
  <si>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</si>
  <si>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</si>
  <si>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</si>
  <si>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</si>
  <si>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</si>
  <si>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</si>
  <si>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</si>
  <si>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</si>
  <si>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</si>
  <si>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</si>
  <si>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</si>
  <si>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</si>
  <si>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</si>
  <si>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</si>
  <si>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</si>
  <si>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</si>
  <si>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</si>
  <si>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</si>
  <si>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</si>
  <si>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</si>
  <si>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</si>
  <si>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</si>
  <si>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</si>
  <si>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</si>
  <si>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</si>
  <si>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</si>
  <si>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</si>
  <si>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</si>
  <si>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</si>
  <si>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</si>
  <si>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</si>
  <si>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</si>
  <si>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</si>
  <si>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</si>
  <si>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</si>
  <si>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TM STEELS LIMITED</t>
  </si>
  <si>
    <t>Steel Stockholder</t>
  </si>
  <si>
    <t>Sheepbridge Works, Chesterfield, S41 9QD</t>
  </si>
  <si>
    <t>Richard Hemingway</t>
  </si>
  <si>
    <t>richard@tmsteels.co.uk</t>
  </si>
  <si>
    <t>01246 268312</t>
  </si>
  <si>
    <t>Amy Walters</t>
  </si>
  <si>
    <t>QHSE Manager</t>
  </si>
  <si>
    <t>amy@tmsteels.co.uk</t>
  </si>
  <si>
    <t>GB 7062614 57</t>
  </si>
  <si>
    <t>www.tmsteels.co.uk/downloads</t>
  </si>
  <si>
    <t>Statement included as standard on all Purchase orders</t>
  </si>
  <si>
    <t>Standard Declaration that no conflict minerals are used, or can not be considered approved supplier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</si>
</sst>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24">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xf numFmtId="0" fontId="81" fillId="0" borderId="0" applyNumberFormat="0" applyFill="0" applyBorder="0" applyAlignment="0" applyProtection="0"/>
    <xf numFmtId="168" fontId="80"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8" fontId="86" fillId="0" borderId="0"/>
    <xf numFmtId="0" fontId="6" fillId="0" borderId="0"/>
    <xf numFmtId="0" fontId="6" fillId="0" borderId="0"/>
    <xf numFmtId="168"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8" fontId="86" fillId="0" borderId="0"/>
    <xf numFmtId="0" fontId="5" fillId="0" borderId="0"/>
    <xf numFmtId="168" fontId="6" fillId="0" borderId="0"/>
    <xf numFmtId="0" fontId="69" fillId="0" borderId="0"/>
    <xf numFmtId="0" fontId="69" fillId="0" borderId="0"/>
    <xf numFmtId="168" fontId="5" fillId="0" borderId="0"/>
    <xf numFmtId="0" fontId="69" fillId="0" borderId="0"/>
    <xf numFmtId="0" fontId="5" fillId="0" borderId="0"/>
    <xf numFmtId="0" fontId="69" fillId="0" borderId="0"/>
    <xf numFmtId="0" fontId="87" fillId="0" borderId="0">
      <alignment vertical="center"/>
    </xf>
    <xf numFmtId="168"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8" fontId="86" fillId="0" borderId="0"/>
    <xf numFmtId="168"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cellStyleXfs>
  <cellXfs count="447">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70"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6"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7" fillId="0" borderId="0" xfId="0" applyFont="1" applyAlignment="1">
      <alignment vertical="center" wrapText="1"/>
    </xf>
    <xf numFmtId="168" fontId="96" fillId="0" borderId="0" xfId="480" applyFont="1" applyFill="1" applyAlignment="1">
      <alignment horizontal="left" vertical="center" wrapText="1"/>
    </xf>
    <xf numFmtId="0" fontId="0" fillId="0" borderId="0" xfId="0" applyFill="1" applyAlignment="1">
      <alignment vertical="center"/>
    </xf>
    <xf numFmtId="0" fontId="108"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09" fillId="0" borderId="0" xfId="0" applyFont="1" applyAlignment="1">
      <alignment vertical="center" wrapText="1"/>
    </xf>
    <xf numFmtId="168" fontId="97" fillId="0" borderId="0" xfId="480" applyFont="1" applyFill="1" applyAlignment="1">
      <alignment vertical="center" wrapText="1"/>
    </xf>
    <xf numFmtId="0" fontId="96" fillId="0" borderId="0" xfId="0" applyFont="1" applyFill="1" applyAlignment="1">
      <alignment vertical="center" wrapText="1"/>
    </xf>
    <xf numFmtId="0" fontId="110"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1"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2"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8" fontId="96" fillId="0" borderId="0" xfId="480" applyFont="1" applyFill="1" applyAlignment="1">
      <alignment vertical="center" wrapText="1"/>
    </xf>
    <xf numFmtId="0" fontId="55" fillId="0" borderId="0" xfId="0" applyFont="1" applyFill="1" applyAlignment="1">
      <alignment horizontal="left" vertical="center" wrapText="1"/>
    </xf>
    <xf numFmtId="0" fontId="114"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8"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0" fillId="0" borderId="0" xfId="0" applyNumberFormat="1" applyFont="1" applyAlignment="1">
      <alignment horizontal="left" vertical="center" wrapText="1"/>
    </xf>
    <xf numFmtId="9" fontId="118"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1"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8"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19"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8" fillId="0" borderId="0" xfId="502" applyFont="1" applyFill="1" applyAlignment="1">
      <alignment horizontal="left" vertical="center" wrapText="1"/>
    </xf>
    <xf numFmtId="168"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8" fontId="96" fillId="0" borderId="0" xfId="480" applyFont="1" applyFill="1" applyBorder="1" applyAlignment="1">
      <alignment vertical="center" wrapText="1"/>
    </xf>
    <xf numFmtId="0" fontId="104"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8"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2" fillId="0" borderId="0" xfId="527" applyFont="1" applyFill="1" applyAlignment="1">
      <alignment horizontal="left" vertical="center" wrapText="1"/>
    </xf>
    <xf numFmtId="168" fontId="6" fillId="0" borderId="0" xfId="480" applyAlignment="1">
      <alignment vertical="center"/>
    </xf>
    <xf numFmtId="0" fontId="123" fillId="0" borderId="0" xfId="0" applyFont="1" applyAlignment="1">
      <alignment vertical="center" wrapText="1"/>
    </xf>
    <xf numFmtId="0" fontId="55" fillId="0" borderId="0" xfId="0" applyFont="1" applyAlignment="1">
      <alignment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8" fontId="25" fillId="0" borderId="42" xfId="570" applyNumberFormat="1" applyFont="1" applyFill="1" applyBorder="1" applyAlignment="1">
      <alignment horizontal="center" vertical="top" wrapText="1"/>
    </xf>
    <xf numFmtId="168" fontId="25" fillId="0" borderId="43"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168" fontId="25" fillId="2" borderId="42" xfId="570" applyNumberFormat="1"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169" fontId="14" fillId="2" borderId="25" xfId="0" applyNumberFormat="1" applyFont="1" applyFill="1" applyBorder="1" applyAlignment="1" applyProtection="1">
      <alignment horizontal="center" wrapText="1"/>
      <protection locked="0"/>
    </xf>
    <xf numFmtId="169"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xf>
    <xf numFmtId="49" fontId="102" fillId="2" borderId="1" xfId="487" applyNumberFormat="1" applyFont="1" applyFill="1" applyBorder="1" applyAlignment="1" applyProtection="1">
      <alignment horizontal="left" vertical="center" wrapText="1"/>
      <protection locked="0"/>
    </xf>
    <xf numFmtId="49" fontId="102"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3" fillId="2" borderId="1" xfId="0" applyNumberFormat="1" applyFont="1" applyFill="1" applyBorder="1" applyAlignment="1" applyProtection="1">
      <alignment horizontal="left" vertical="center" wrapText="1"/>
      <protection locked="0"/>
    </xf>
    <xf numFmtId="49" fontId="103" fillId="2" borderId="28" xfId="0" applyNumberFormat="1" applyFont="1" applyFill="1" applyBorder="1" applyAlignment="1" applyProtection="1">
      <alignment horizontal="left" vertical="center" wrapText="1"/>
      <protection locked="0"/>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1" fillId="0" borderId="25" xfId="487" applyFont="1" applyFill="1" applyBorder="1" applyAlignment="1" applyProtection="1">
      <alignment horizontal="left" vertical="center" wrapText="1"/>
    </xf>
    <xf numFmtId="0" fontId="101" fillId="0" borderId="18" xfId="487" applyFont="1" applyFill="1" applyBorder="1" applyAlignment="1" applyProtection="1">
      <alignment horizontal="left" vertical="center" wrapText="1"/>
    </xf>
    <xf numFmtId="0" fontId="101" fillId="0" borderId="53" xfId="487" applyFont="1" applyFill="1" applyBorder="1" applyAlignment="1" applyProtection="1">
      <alignment horizontal="left" vertical="center" wrapText="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7" fillId="2" borderId="52" xfId="487" applyNumberFormat="1" applyFill="1" applyBorder="1" applyAlignment="1" applyProtection="1">
      <alignment horizontal="left" vertical="center" wrapText="1"/>
      <protection locked="0"/>
    </xf>
    <xf numFmtId="0" fontId="7" fillId="2" borderId="52" xfId="487" applyFill="1" applyBorder="1" applyAlignment="1" applyProtection="1">
      <alignment horizontal="left" vertical="center" wrapText="1"/>
      <protection locked="0"/>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richard@tmsteels.co.uk"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tmsteels.co.uk/downloads" TargetMode="External"/><Relationship Id="rId4" Type="http://schemas.openxmlformats.org/officeDocument/2006/relationships/hyperlink" Target="mailto:amy@tmsteels.co.uk"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62"/>
      <c r="B2" s="38" t="s">
        <v>963</v>
      </c>
      <c r="C2" s="36"/>
      <c r="D2" s="207"/>
      <c r="E2" s="3"/>
      <c r="F2" s="36"/>
      <c r="G2" s="34"/>
    </row>
    <row r="3" spans="1:7">
      <c r="A3" s="362"/>
      <c r="B3" s="5" t="s">
        <v>952</v>
      </c>
      <c r="C3" s="6"/>
      <c r="D3" s="208"/>
      <c r="E3" s="3"/>
      <c r="F3" s="6"/>
      <c r="G3" s="34"/>
    </row>
    <row r="4" spans="1:7" ht="15.75">
      <c r="A4" s="362"/>
      <c r="B4" s="41" t="s">
        <v>965</v>
      </c>
      <c r="C4" s="7"/>
      <c r="D4" s="209"/>
      <c r="E4" s="3"/>
      <c r="F4" s="7"/>
      <c r="G4" s="34"/>
    </row>
    <row r="5" spans="1:7">
      <c r="A5" s="362"/>
      <c r="B5" s="40" t="s">
        <v>1157</v>
      </c>
      <c r="C5" s="4"/>
      <c r="D5" s="210"/>
      <c r="E5" s="3"/>
      <c r="F5" s="4"/>
      <c r="G5" s="34"/>
    </row>
    <row r="6" spans="1:7">
      <c r="A6" s="362"/>
      <c r="B6" s="8"/>
      <c r="C6" s="8"/>
      <c r="D6" s="211"/>
      <c r="E6" s="8"/>
      <c r="F6" s="8"/>
      <c r="G6" s="34"/>
    </row>
    <row r="7" spans="1:7">
      <c r="A7" s="362"/>
      <c r="B7" s="8"/>
      <c r="C7" s="8"/>
      <c r="D7" s="211"/>
      <c r="E7" s="8"/>
      <c r="F7" s="8"/>
      <c r="G7" s="34"/>
    </row>
    <row r="8" spans="1:7">
      <c r="A8" s="362"/>
      <c r="B8" s="8"/>
      <c r="C8" s="8"/>
      <c r="D8" s="211"/>
      <c r="E8" s="8"/>
      <c r="F8" s="8"/>
      <c r="G8" s="34"/>
    </row>
    <row r="9" spans="1:7">
      <c r="A9" s="362"/>
      <c r="B9" s="365" t="s">
        <v>966</v>
      </c>
      <c r="C9" s="365"/>
      <c r="D9" s="365"/>
      <c r="E9" s="365"/>
      <c r="F9" s="365"/>
      <c r="G9" s="34"/>
    </row>
    <row r="10" spans="1:7" ht="27" customHeight="1">
      <c r="A10" s="362"/>
      <c r="B10" s="366" t="s">
        <v>506</v>
      </c>
      <c r="C10" s="366"/>
      <c r="D10" s="366"/>
      <c r="E10" s="366"/>
      <c r="F10" s="366"/>
      <c r="G10" s="34"/>
    </row>
    <row r="11" spans="1:7" ht="27" customHeight="1">
      <c r="A11" s="362"/>
      <c r="B11" s="367"/>
      <c r="C11" s="367"/>
      <c r="D11" s="367"/>
      <c r="E11" s="367"/>
      <c r="F11" s="367"/>
      <c r="G11" s="34"/>
    </row>
    <row r="12" spans="1:7" ht="16.5">
      <c r="A12" s="362"/>
      <c r="B12" s="42" t="s">
        <v>964</v>
      </c>
      <c r="C12" s="43" t="s">
        <v>967</v>
      </c>
      <c r="D12" s="212" t="s">
        <v>968</v>
      </c>
      <c r="E12" s="43" t="s">
        <v>701</v>
      </c>
      <c r="F12" s="43" t="s">
        <v>702</v>
      </c>
      <c r="G12" s="34"/>
    </row>
    <row r="13" spans="1:7" ht="33.75">
      <c r="A13" s="362"/>
      <c r="B13" s="2">
        <v>1</v>
      </c>
      <c r="C13" s="37" t="s">
        <v>1208</v>
      </c>
      <c r="D13" s="39" t="s">
        <v>992</v>
      </c>
      <c r="E13" s="196" t="s">
        <v>969</v>
      </c>
      <c r="F13" s="196"/>
      <c r="G13" s="34"/>
    </row>
    <row r="14" spans="1:7" ht="33.75">
      <c r="A14" s="362"/>
      <c r="B14" s="2">
        <v>2</v>
      </c>
      <c r="C14" s="37" t="s">
        <v>1208</v>
      </c>
      <c r="D14" s="39" t="s">
        <v>1142</v>
      </c>
      <c r="E14" s="196" t="s">
        <v>602</v>
      </c>
      <c r="F14" s="196" t="s">
        <v>603</v>
      </c>
      <c r="G14" s="34"/>
    </row>
    <row r="15" spans="1:7" ht="89.1" customHeight="1">
      <c r="A15" s="362"/>
      <c r="B15" s="347">
        <v>2.0099999999999998</v>
      </c>
      <c r="C15" s="359" t="s">
        <v>1208</v>
      </c>
      <c r="D15" s="368" t="s">
        <v>2686</v>
      </c>
      <c r="E15" s="197" t="s">
        <v>703</v>
      </c>
      <c r="F15" s="197" t="s">
        <v>706</v>
      </c>
      <c r="G15" s="34"/>
    </row>
    <row r="16" spans="1:7" ht="99" customHeight="1">
      <c r="A16" s="362"/>
      <c r="B16" s="348"/>
      <c r="C16" s="360"/>
      <c r="D16" s="369"/>
      <c r="E16" s="198"/>
      <c r="F16" s="198" t="s">
        <v>704</v>
      </c>
      <c r="G16" s="34"/>
    </row>
    <row r="17" spans="1:7" ht="63" customHeight="1">
      <c r="A17" s="362"/>
      <c r="B17" s="349"/>
      <c r="C17" s="361"/>
      <c r="D17" s="370"/>
      <c r="E17" s="37"/>
      <c r="F17" s="37" t="s">
        <v>705</v>
      </c>
      <c r="G17" s="34"/>
    </row>
    <row r="18" spans="1:7" ht="117" customHeight="1">
      <c r="A18" s="362"/>
      <c r="B18" s="347">
        <v>2.02</v>
      </c>
      <c r="C18" s="359" t="s">
        <v>1208</v>
      </c>
      <c r="D18" s="368" t="s">
        <v>2687</v>
      </c>
      <c r="E18" s="197" t="s">
        <v>507</v>
      </c>
      <c r="F18" s="197" t="s">
        <v>596</v>
      </c>
      <c r="G18" s="34"/>
    </row>
    <row r="19" spans="1:7" ht="71.099999999999994" customHeight="1">
      <c r="A19" s="362"/>
      <c r="B19" s="348"/>
      <c r="C19" s="360"/>
      <c r="D19" s="369"/>
      <c r="E19" s="198" t="s">
        <v>601</v>
      </c>
      <c r="F19" s="198" t="s">
        <v>508</v>
      </c>
      <c r="G19" s="34"/>
    </row>
    <row r="20" spans="1:7" ht="90.75" customHeight="1">
      <c r="A20" s="362"/>
      <c r="B20" s="348"/>
      <c r="C20" s="360"/>
      <c r="D20" s="369"/>
      <c r="E20" s="198"/>
      <c r="F20" s="198" t="s">
        <v>708</v>
      </c>
      <c r="G20" s="34"/>
    </row>
    <row r="21" spans="1:7" ht="74.25" customHeight="1">
      <c r="A21" s="362"/>
      <c r="B21" s="349"/>
      <c r="C21" s="361"/>
      <c r="D21" s="370"/>
      <c r="E21" s="37"/>
      <c r="F21" s="37" t="s">
        <v>707</v>
      </c>
      <c r="G21" s="34"/>
    </row>
    <row r="22" spans="1:7" ht="90" customHeight="1">
      <c r="A22" s="362"/>
      <c r="B22" s="353">
        <v>2.0299999999999998</v>
      </c>
      <c r="C22" s="353" t="s">
        <v>935</v>
      </c>
      <c r="D22" s="356" t="s">
        <v>2688</v>
      </c>
      <c r="E22" s="359" t="s">
        <v>505</v>
      </c>
      <c r="F22" s="197" t="s">
        <v>529</v>
      </c>
      <c r="G22" s="34"/>
    </row>
    <row r="23" spans="1:7" ht="109.5" customHeight="1">
      <c r="A23" s="362"/>
      <c r="B23" s="354"/>
      <c r="C23" s="354"/>
      <c r="D23" s="357"/>
      <c r="E23" s="360"/>
      <c r="F23" s="198" t="s">
        <v>936</v>
      </c>
      <c r="G23" s="34"/>
    </row>
    <row r="24" spans="1:7" ht="74.25" customHeight="1">
      <c r="A24" s="362"/>
      <c r="B24" s="355"/>
      <c r="C24" s="355"/>
      <c r="D24" s="358"/>
      <c r="E24" s="361"/>
      <c r="F24" s="37" t="s">
        <v>504</v>
      </c>
      <c r="G24" s="34"/>
    </row>
    <row r="25" spans="1:7" ht="72" customHeight="1">
      <c r="A25" s="362"/>
      <c r="B25" s="2" t="s">
        <v>527</v>
      </c>
      <c r="C25" s="37" t="s">
        <v>528</v>
      </c>
      <c r="D25" s="39" t="s">
        <v>2689</v>
      </c>
      <c r="E25" s="37" t="s">
        <v>2682</v>
      </c>
      <c r="F25" s="37" t="s">
        <v>530</v>
      </c>
      <c r="G25" s="34"/>
    </row>
    <row r="26" spans="1:7" ht="98.1" customHeight="1">
      <c r="A26" s="362"/>
      <c r="B26" s="350">
        <v>3</v>
      </c>
      <c r="C26" s="347" t="s">
        <v>74</v>
      </c>
      <c r="D26" s="368" t="s">
        <v>2690</v>
      </c>
      <c r="E26" s="359" t="s">
        <v>0</v>
      </c>
      <c r="F26" s="197" t="s">
        <v>68</v>
      </c>
      <c r="G26" s="34"/>
    </row>
    <row r="27" spans="1:7" ht="90" customHeight="1">
      <c r="A27" s="362"/>
      <c r="B27" s="351"/>
      <c r="C27" s="348"/>
      <c r="D27" s="369"/>
      <c r="E27" s="360"/>
      <c r="F27" s="198" t="s">
        <v>63</v>
      </c>
      <c r="G27" s="34"/>
    </row>
    <row r="28" spans="1:7" ht="19.350000000000001" customHeight="1">
      <c r="A28" s="362"/>
      <c r="B28" s="351"/>
      <c r="C28" s="348"/>
      <c r="D28" s="369"/>
      <c r="E28" s="360"/>
      <c r="F28" s="198" t="s">
        <v>64</v>
      </c>
      <c r="G28" s="34"/>
    </row>
    <row r="29" spans="1:7" ht="74.45" customHeight="1">
      <c r="A29" s="362"/>
      <c r="B29" s="351"/>
      <c r="C29" s="348"/>
      <c r="D29" s="369"/>
      <c r="E29" s="360"/>
      <c r="F29" s="198" t="s">
        <v>65</v>
      </c>
      <c r="G29" s="34"/>
    </row>
    <row r="30" spans="1:7" ht="62.45" customHeight="1">
      <c r="A30" s="362"/>
      <c r="B30" s="351"/>
      <c r="C30" s="348"/>
      <c r="D30" s="369"/>
      <c r="E30" s="360"/>
      <c r="F30" s="198" t="s">
        <v>66</v>
      </c>
      <c r="G30" s="34"/>
    </row>
    <row r="31" spans="1:7" ht="81" customHeight="1">
      <c r="A31" s="362"/>
      <c r="B31" s="351"/>
      <c r="C31" s="348"/>
      <c r="D31" s="369"/>
      <c r="E31" s="360"/>
      <c r="F31" s="198" t="s">
        <v>67</v>
      </c>
      <c r="G31" s="34"/>
    </row>
    <row r="32" spans="1:7" ht="48.75" customHeight="1">
      <c r="A32" s="362"/>
      <c r="B32" s="351"/>
      <c r="C32" s="348"/>
      <c r="D32" s="369"/>
      <c r="E32" s="360"/>
      <c r="F32" s="198" t="s">
        <v>70</v>
      </c>
      <c r="G32" s="34"/>
    </row>
    <row r="33" spans="1:7" ht="98.45" customHeight="1">
      <c r="A33" s="362"/>
      <c r="B33" s="351"/>
      <c r="C33" s="348"/>
      <c r="D33" s="369"/>
      <c r="E33" s="360"/>
      <c r="F33" s="198" t="s">
        <v>69</v>
      </c>
      <c r="G33" s="34"/>
    </row>
    <row r="34" spans="1:7" ht="89.1" customHeight="1">
      <c r="A34" s="362"/>
      <c r="B34" s="351"/>
      <c r="C34" s="348"/>
      <c r="D34" s="369"/>
      <c r="E34" s="360"/>
      <c r="F34" s="198" t="s">
        <v>71</v>
      </c>
      <c r="G34" s="34"/>
    </row>
    <row r="35" spans="1:7" ht="29.1" customHeight="1">
      <c r="A35" s="362"/>
      <c r="B35" s="351"/>
      <c r="C35" s="348"/>
      <c r="D35" s="369"/>
      <c r="E35" s="360"/>
      <c r="F35" s="198" t="s">
        <v>72</v>
      </c>
      <c r="G35" s="34"/>
    </row>
    <row r="36" spans="1:7" ht="126.75">
      <c r="A36" s="362"/>
      <c r="B36" s="352"/>
      <c r="C36" s="349"/>
      <c r="D36" s="370"/>
      <c r="E36" s="361"/>
      <c r="F36" s="199" t="s">
        <v>73</v>
      </c>
      <c r="G36" s="34"/>
    </row>
    <row r="37" spans="1:7" ht="123.75">
      <c r="A37" s="362"/>
      <c r="B37" s="175">
        <v>3.01</v>
      </c>
      <c r="C37" s="176" t="s">
        <v>74</v>
      </c>
      <c r="D37" s="39" t="s">
        <v>2691</v>
      </c>
      <c r="E37" s="200" t="s">
        <v>1458</v>
      </c>
      <c r="F37" s="201" t="s">
        <v>1577</v>
      </c>
      <c r="G37" s="34"/>
    </row>
    <row r="38" spans="1:7" ht="112.5">
      <c r="A38" s="362"/>
      <c r="B38" s="175">
        <v>3.02</v>
      </c>
      <c r="C38" s="176" t="s">
        <v>1492</v>
      </c>
      <c r="D38" s="39" t="s">
        <v>2692</v>
      </c>
      <c r="E38" s="200" t="s">
        <v>1507</v>
      </c>
      <c r="F38" s="201" t="s">
        <v>1578</v>
      </c>
      <c r="G38" s="34"/>
    </row>
    <row r="39" spans="1:7" ht="101.25">
      <c r="A39" s="362"/>
      <c r="B39" s="184">
        <v>4</v>
      </c>
      <c r="C39" s="183" t="s">
        <v>1757</v>
      </c>
      <c r="D39" s="39" t="s">
        <v>2693</v>
      </c>
      <c r="E39" s="37" t="s">
        <v>2625</v>
      </c>
      <c r="F39" s="37" t="s">
        <v>1758</v>
      </c>
      <c r="G39" s="34"/>
    </row>
    <row r="40" spans="1:7" ht="56.25">
      <c r="A40" s="362"/>
      <c r="B40" s="175">
        <v>4.01</v>
      </c>
      <c r="C40" s="183" t="s">
        <v>1757</v>
      </c>
      <c r="D40" s="39" t="s">
        <v>2695</v>
      </c>
      <c r="E40" s="37" t="s">
        <v>2644</v>
      </c>
      <c r="F40" s="37" t="s">
        <v>2649</v>
      </c>
      <c r="G40" s="34"/>
    </row>
    <row r="41" spans="1:7" ht="56.25">
      <c r="A41" s="362"/>
      <c r="B41" s="175" t="s">
        <v>2680</v>
      </c>
      <c r="C41" s="183" t="s">
        <v>1757</v>
      </c>
      <c r="D41" s="39" t="s">
        <v>2694</v>
      </c>
      <c r="E41" s="37" t="s">
        <v>2683</v>
      </c>
      <c r="F41" s="37" t="s">
        <v>2681</v>
      </c>
      <c r="G41" s="34"/>
    </row>
    <row r="42" spans="1:7" ht="56.25">
      <c r="A42" s="362"/>
      <c r="B42" s="175" t="s">
        <v>2732</v>
      </c>
      <c r="C42" s="183" t="s">
        <v>1757</v>
      </c>
      <c r="D42" s="39" t="s">
        <v>2903</v>
      </c>
      <c r="E42" s="37" t="s">
        <v>2682</v>
      </c>
      <c r="F42" s="37" t="s">
        <v>2733</v>
      </c>
      <c r="G42" s="34"/>
    </row>
    <row r="43" spans="1:7" ht="123.75">
      <c r="A43" s="362"/>
      <c r="B43" s="193">
        <v>4.0999999999999996</v>
      </c>
      <c r="C43" s="183" t="s">
        <v>2902</v>
      </c>
      <c r="D43" s="194">
        <v>42867</v>
      </c>
      <c r="E43" s="202" t="s">
        <v>2905</v>
      </c>
      <c r="F43" s="37" t="s">
        <v>2904</v>
      </c>
      <c r="G43" s="34"/>
    </row>
    <row r="44" spans="1:7" ht="78.75">
      <c r="A44" s="362"/>
      <c r="B44" s="193">
        <v>4.2</v>
      </c>
      <c r="C44" s="183" t="s">
        <v>2902</v>
      </c>
      <c r="D44" s="194">
        <v>42704</v>
      </c>
      <c r="E44" s="202" t="s">
        <v>3155</v>
      </c>
      <c r="F44" s="37" t="s">
        <v>3120</v>
      </c>
      <c r="G44" s="34"/>
    </row>
    <row r="45" spans="1:7" ht="157.5">
      <c r="A45" s="362"/>
      <c r="B45" s="241">
        <v>5</v>
      </c>
      <c r="C45" s="183" t="s">
        <v>2902</v>
      </c>
      <c r="D45" s="194">
        <v>42867</v>
      </c>
      <c r="E45" s="202" t="s">
        <v>13730</v>
      </c>
      <c r="F45" s="37" t="s">
        <v>13315</v>
      </c>
      <c r="G45" s="34"/>
    </row>
    <row r="46" spans="1:7" ht="45">
      <c r="A46" s="362"/>
      <c r="B46" s="193">
        <v>5.01</v>
      </c>
      <c r="C46" s="183" t="s">
        <v>2902</v>
      </c>
      <c r="D46" s="194">
        <v>42907</v>
      </c>
      <c r="E46" s="202" t="s">
        <v>13786</v>
      </c>
      <c r="F46" s="37" t="s">
        <v>13315</v>
      </c>
      <c r="G46" s="34"/>
    </row>
    <row r="47" spans="1:7" ht="67.5">
      <c r="A47" s="362"/>
      <c r="B47" s="193">
        <v>5.0999999999999996</v>
      </c>
      <c r="C47" s="183" t="s">
        <v>2902</v>
      </c>
      <c r="D47" s="194">
        <v>43070</v>
      </c>
      <c r="E47" s="202" t="s">
        <v>13985</v>
      </c>
      <c r="F47" s="37" t="s">
        <v>13986</v>
      </c>
      <c r="G47" s="34"/>
    </row>
    <row r="48" spans="1:7" ht="56.25">
      <c r="A48" s="362"/>
      <c r="B48" s="193">
        <v>5.1100000000000003</v>
      </c>
      <c r="C48" s="183" t="s">
        <v>14260</v>
      </c>
      <c r="D48" s="194">
        <v>43217</v>
      </c>
      <c r="E48" s="202" t="s">
        <v>14404</v>
      </c>
      <c r="F48" s="37" t="s">
        <v>14299</v>
      </c>
      <c r="G48" s="34"/>
    </row>
    <row r="49" spans="1:7" ht="56.25">
      <c r="A49" s="362"/>
      <c r="B49" s="193">
        <v>5.12</v>
      </c>
      <c r="C49" s="183" t="s">
        <v>14260</v>
      </c>
      <c r="D49" s="194">
        <v>43581</v>
      </c>
      <c r="E49" s="202" t="s">
        <v>14404</v>
      </c>
      <c r="F49" s="37" t="s">
        <v>15467</v>
      </c>
      <c r="G49" s="34"/>
    </row>
    <row r="50" spans="1:7" ht="13.5" thickBot="1">
      <c r="A50" s="363"/>
      <c r="B50" s="364" t="str">
        <f ca="1">OFFSET(L!$C$1,MATCH("General"&amp;"Cpy",L!$A:$A,0)-1,SL,,)</f>
        <v>© 2019 Responsible Minerals Initiative. All rights reserved.</v>
      </c>
      <c r="C50" s="364"/>
      <c r="D50" s="364"/>
      <c r="E50" s="364"/>
      <c r="F50" s="364"/>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xr:uid="{00000000-0009-0000-0000-000009000000}">
    <sortState xmlns:xlrd2="http://schemas.microsoft.com/office/spreadsheetml/2017/richdata2" ref="A2:B250">
      <sortCondition ref="B1"/>
    </sortState>
  </autoFilter>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xr:uid="{00000000-0009-0000-0000-00000A000000}">
    <sortState xmlns:xlrd2="http://schemas.microsoft.com/office/spreadsheetml/2017/richdata2"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xmlns:xlrd2="http://schemas.microsoft.com/office/spreadsheetml/2017/richdata2"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19" zoomScaleNormal="100" zoomScalePageLayoutView="60" workbookViewId="0">
      <selection activeCell="A21" sqref="A21"/>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scale="35"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Normal="100" zoomScalePageLayoutView="80" workbookViewId="0">
      <pane ySplit="2" topLeftCell="A12"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1"/>
      <c r="B1" s="372"/>
      <c r="C1" s="372"/>
      <c r="D1" s="373"/>
    </row>
    <row r="2" spans="1:5" ht="71.25" customHeight="1">
      <c r="A2" s="90"/>
      <c r="B2" s="171" t="str">
        <f ca="1">OFFSET(L!$C$1,MATCH("Definitions"&amp;ADDRESS(ROW(),COLUMN(),4),L!$A:$A,0)-1,SL,,)</f>
        <v>ITEM</v>
      </c>
      <c r="C2" s="171" t="str">
        <f ca="1">OFFSET(L!$C$1,MATCH("Definitions"&amp;ADDRESS(ROW(),COLUMN(),4),L!$A:$A,0)-1,SL,,)</f>
        <v>DEFINITION</v>
      </c>
      <c r="D2" s="375"/>
      <c r="E2" s="131"/>
    </row>
    <row r="3" spans="1:5" ht="63.95" customHeight="1">
      <c r="A3" s="90"/>
      <c r="B3" s="77" t="str">
        <f ca="1">OFFSET(L!$C$1,MATCH("Definitions"&amp;ADDRESS(ROW(),COLUMN(),4),L!$A:$A,0)-1,SL,,)</f>
        <v>3TG</v>
      </c>
      <c r="C3" s="77" t="str">
        <f ca="1">OFFSET(L!$C$1,MATCH("Definitions"&amp;ADDRESS(ROW(),COLUMN(),4),L!$A:$A,0)-1,SL,,)</f>
        <v>Tantalum, tin, tungsten, gold</v>
      </c>
      <c r="D3" s="375"/>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5"/>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5"/>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5"/>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5"/>
      <c r="E8" s="132" t="s">
        <v>1443</v>
      </c>
    </row>
    <row r="9" spans="1:5" ht="45">
      <c r="A9" s="90"/>
      <c r="B9" s="77" t="str">
        <f ca="1">OFFSET(L!$C$1,MATCH("Definitions"&amp;ADDRESS(ROW(),COLUMN(),4),L!$A:$A,0)-1,SL,,)</f>
        <v>DRC</v>
      </c>
      <c r="C9" s="77" t="str">
        <f ca="1">OFFSET(L!$C$1,MATCH("Definitions"&amp;ADDRESS(ROW(),COLUMN(),4),L!$A:$A,0)-1,SL,,)</f>
        <v>Democratic Republic of Congo</v>
      </c>
      <c r="D9" s="375"/>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5"/>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5"/>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5"/>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5"/>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5"/>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5"/>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5"/>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5"/>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5"/>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5"/>
      <c r="E19" s="132"/>
    </row>
    <row r="20" spans="1:5" ht="15">
      <c r="A20" s="90"/>
      <c r="B20" s="77" t="str">
        <f ca="1">OFFSET(L!$C$1,MATCH("Definitions"&amp;ADDRESS(ROW(),COLUMN(),4),L!$A:$A,0)-1,SL,,)</f>
        <v>RBA</v>
      </c>
      <c r="C20" s="77" t="str">
        <f ca="1">OFFSET(L!$C$1,MATCH("Definitions"&amp;ADDRESS(ROW(),COLUMN(),4),L!$A:$A,0)-1,SL,,)</f>
        <v>Responsible Business Alliance (www.responsiblebusiness.org)</v>
      </c>
      <c r="D20" s="375"/>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5"/>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5"/>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5"/>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5"/>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5"/>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5"/>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5"/>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5"/>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5"/>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5"/>
      <c r="E30" s="132"/>
    </row>
    <row r="31" spans="1:5" ht="15">
      <c r="A31" s="90"/>
      <c r="B31" s="374" t="str">
        <f ca="1">OFFSET(L!$C$1,MATCH("General"&amp;"Cpy",L!$A:$A,0)-1,SL,,)</f>
        <v>© 2019 Responsible Minerals Initiative. All rights reserved.</v>
      </c>
      <c r="C31" s="374"/>
      <c r="D31" s="375"/>
      <c r="E31" s="132"/>
    </row>
    <row r="32" spans="1:5" ht="13.5" thickBot="1">
      <c r="A32" s="91"/>
      <c r="B32" s="187"/>
      <c r="C32" s="187"/>
      <c r="D32" s="376"/>
    </row>
    <row r="33" ht="13.5" thickTop="1"/>
  </sheetData>
  <sheetProtection password="E31B" sheet="1" objects="1" scenarios="1" formatColumns="0" formatRows="0" insertHyperlink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opLeftCell="A71" zoomScaleNormal="100" zoomScalePageLayoutView="70" workbookViewId="0">
      <selection activeCell="E89" sqref="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395"/>
      <c r="B1" s="396"/>
      <c r="C1" s="396"/>
      <c r="D1" s="396"/>
      <c r="E1" s="396"/>
      <c r="F1" s="396"/>
      <c r="G1" s="396"/>
      <c r="H1" s="396"/>
      <c r="I1" s="396"/>
      <c r="J1" s="396"/>
      <c r="K1" s="397"/>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398" t="str">
        <f ca="1">OFFSET(L!$C$1,MATCH("Declaration"&amp;ADDRESS(ROW(),COLUMN(),4),L!$A:$A,0)-1,SL,,)</f>
        <v>Conflict Minerals Reporting Template (CMRT)</v>
      </c>
      <c r="E2" s="399"/>
      <c r="F2" s="399"/>
      <c r="G2" s="399"/>
      <c r="H2" s="399"/>
      <c r="I2" s="399"/>
      <c r="J2" s="400"/>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08"/>
      <c r="G3" s="408"/>
      <c r="H3" s="408"/>
      <c r="I3" s="186"/>
      <c r="J3" s="172" t="s">
        <v>15472</v>
      </c>
      <c r="K3" s="47"/>
      <c r="L3" s="143"/>
      <c r="M3" s="134"/>
      <c r="N3" s="134"/>
      <c r="O3" s="135"/>
      <c r="P3" s="148">
        <f>MATCH($D$3,LN,0)</f>
        <v>1</v>
      </c>
    </row>
    <row r="4" spans="1:34" ht="15.75">
      <c r="A4" s="45"/>
      <c r="B4" s="404" t="str">
        <f ca="1">OFFSET(L!$C$1,MATCH("Declaration"&amp;ADDRESS(ROW(),COLUMN(),4),L!$A:$A,0)-1,SL,,)</f>
        <v>The purpose of this document is to collect sourcing information on tin, tantalum, tungsten and gold used in products</v>
      </c>
      <c r="C4" s="404"/>
      <c r="D4" s="404"/>
      <c r="E4" s="404"/>
      <c r="F4" s="404"/>
      <c r="G4" s="404"/>
      <c r="H4" s="404"/>
      <c r="I4" s="409" t="str">
        <f ca="1">OFFSET(L!$C$1,MATCH("Declaration"&amp;ADDRESS(ROW(),COLUMN(),4),L!$A:$A,0)-1,SL,,)</f>
        <v>Link to Terms &amp; Conditions</v>
      </c>
      <c r="J4" s="409"/>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04" t="str">
        <f ca="1">OFFSET(L!$C$1,MATCH("Declaration"&amp;ADDRESS(ROW(),COLUMN(),4),L!$A:$A,0)-1,SL,,)</f>
        <v>Mandatory fields are noted with an asterisk (*).  Consult the instructions tab for guidance on how to answer each question.</v>
      </c>
      <c r="C6" s="404"/>
      <c r="D6" s="404"/>
      <c r="E6" s="404"/>
      <c r="F6" s="404"/>
      <c r="G6" s="404"/>
      <c r="H6" s="404"/>
      <c r="I6" s="404"/>
      <c r="J6" s="404"/>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13" t="str">
        <f ca="1">OFFSET(L!$C$1,MATCH("Declaration"&amp;ADDRESS(ROW(),COLUMN(),4),L!$A:$A,0)-1,SL,,)</f>
        <v>Company Information</v>
      </c>
      <c r="C7" s="413"/>
      <c r="D7" s="413"/>
      <c r="E7" s="413"/>
      <c r="F7" s="413"/>
      <c r="G7" s="413"/>
      <c r="H7" s="413"/>
      <c r="I7" s="413"/>
      <c r="J7" s="413"/>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401" t="s">
        <v>15494</v>
      </c>
      <c r="E8" s="402"/>
      <c r="F8" s="402"/>
      <c r="G8" s="402"/>
      <c r="H8" s="402"/>
      <c r="I8" s="402"/>
      <c r="J8" s="403"/>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10" t="s">
        <v>564</v>
      </c>
      <c r="E9" s="411"/>
      <c r="F9" s="411"/>
      <c r="G9" s="412"/>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14" t="str">
        <f ca="1">OFFSET(L!$C$1,MATCH("Declaration"&amp;ADDRESS(ROW(),COLUMN(),4)&amp;LEFT($D$9,1),L!$A:$A,0)-1,SL,,)</f>
        <v>Description of Scope:</v>
      </c>
      <c r="C10" s="155"/>
      <c r="D10" s="405" t="s">
        <v>15495</v>
      </c>
      <c r="E10" s="406"/>
      <c r="F10" s="406"/>
      <c r="G10" s="406"/>
      <c r="H10" s="406"/>
      <c r="I10" s="406"/>
      <c r="J10" s="407"/>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15"/>
      <c r="C11" s="155"/>
      <c r="D11" s="423" t="str">
        <f ca="1">IF(D9=Q9,OFFSET(L!$C$1,MATCH("Declaration"&amp;ADDRESS(ROW(),COLUMN(),4),L!$A:$A,0)-1,SL,,),"")</f>
        <v/>
      </c>
      <c r="E11" s="424"/>
      <c r="F11" s="424"/>
      <c r="G11" s="424"/>
      <c r="H11" s="424"/>
      <c r="I11" s="424"/>
      <c r="J11" s="425"/>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385" t="s">
        <v>15503</v>
      </c>
      <c r="E12" s="386"/>
      <c r="F12" s="386"/>
      <c r="G12" s="386"/>
      <c r="H12" s="386"/>
      <c r="I12" s="386"/>
      <c r="J12" s="387"/>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385"/>
      <c r="E13" s="386"/>
      <c r="F13" s="386"/>
      <c r="G13" s="386"/>
      <c r="H13" s="386"/>
      <c r="I13" s="386"/>
      <c r="J13" s="387"/>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385" t="s">
        <v>15496</v>
      </c>
      <c r="E14" s="386"/>
      <c r="F14" s="386"/>
      <c r="G14" s="386"/>
      <c r="H14" s="386"/>
      <c r="I14" s="386"/>
      <c r="J14" s="387"/>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385" t="s">
        <v>15497</v>
      </c>
      <c r="E15" s="386"/>
      <c r="F15" s="386"/>
      <c r="G15" s="386"/>
      <c r="H15" s="386"/>
      <c r="I15" s="386"/>
      <c r="J15" s="387"/>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445" t="s">
        <v>15498</v>
      </c>
      <c r="E16" s="416"/>
      <c r="F16" s="416"/>
      <c r="G16" s="416"/>
      <c r="H16" s="416"/>
      <c r="I16" s="416"/>
      <c r="J16" s="417"/>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385" t="s">
        <v>15499</v>
      </c>
      <c r="E17" s="386"/>
      <c r="F17" s="386"/>
      <c r="G17" s="386"/>
      <c r="H17" s="386"/>
      <c r="I17" s="386"/>
      <c r="J17" s="387"/>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385" t="s">
        <v>15500</v>
      </c>
      <c r="E18" s="386"/>
      <c r="F18" s="386"/>
      <c r="G18" s="386"/>
      <c r="H18" s="386"/>
      <c r="I18" s="386"/>
      <c r="J18" s="387"/>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385" t="s">
        <v>15501</v>
      </c>
      <c r="E19" s="386"/>
      <c r="F19" s="386"/>
      <c r="G19" s="386"/>
      <c r="H19" s="386"/>
      <c r="I19" s="386"/>
      <c r="J19" s="387"/>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45" t="s">
        <v>15502</v>
      </c>
      <c r="E20" s="416"/>
      <c r="F20" s="416"/>
      <c r="G20" s="416"/>
      <c r="H20" s="416"/>
      <c r="I20" s="416"/>
      <c r="J20" s="417"/>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385" t="s">
        <v>15499</v>
      </c>
      <c r="E21" s="386"/>
      <c r="F21" s="386"/>
      <c r="G21" s="386"/>
      <c r="H21" s="386"/>
      <c r="I21" s="386"/>
      <c r="J21" s="387"/>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388">
        <v>43924</v>
      </c>
      <c r="E22" s="389"/>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20"/>
      <c r="E23" s="420"/>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390" t="str">
        <f ca="1">OFFSET(L!$C$1,MATCH("Declaration"&amp;ADDRESS(ROW(),COLUMN(),4),L!$A:$A,0)-1,SL,,)</f>
        <v>Answer the following questions 1 - 7 based on the declaration scope indicated above</v>
      </c>
      <c r="C24" s="390"/>
      <c r="D24" s="390"/>
      <c r="E24" s="390"/>
      <c r="F24" s="390"/>
      <c r="G24" s="390"/>
      <c r="H24" s="390"/>
      <c r="I24" s="390"/>
      <c r="J24" s="390"/>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21" t="str">
        <f ca="1">OFFSET(L!$C$1,MATCH("Declaration"&amp;ADDRESS(ROW(),COLUMN(),4),L!$A:$A,0)-1,SL,,)</f>
        <v>Answer</v>
      </c>
      <c r="E25" s="421"/>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7" t="s">
        <v>559</v>
      </c>
      <c r="E26" s="378"/>
      <c r="F26" s="15"/>
      <c r="G26" s="379"/>
      <c r="H26" s="380"/>
      <c r="I26" s="380"/>
      <c r="J26" s="381"/>
      <c r="K26" s="47"/>
      <c r="L26" s="146"/>
      <c r="M26" s="136"/>
      <c r="N26" s="134"/>
      <c r="O26" s="135"/>
      <c r="P26" s="148"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 xml:space="preserve">Tin  </v>
      </c>
      <c r="C27" s="46"/>
      <c r="D27" s="377" t="s">
        <v>559</v>
      </c>
      <c r="E27" s="378"/>
      <c r="F27" s="15"/>
      <c r="G27" s="379"/>
      <c r="H27" s="380"/>
      <c r="I27" s="380"/>
      <c r="J27" s="381"/>
      <c r="K27" s="47"/>
      <c r="L27" s="146"/>
      <c r="M27" s="134"/>
      <c r="N27" s="134"/>
      <c r="O27" s="134"/>
      <c r="P27" s="148" t="str">
        <f>IF(D$27="No","","(*)")</f>
        <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77" t="s">
        <v>559</v>
      </c>
      <c r="E28" s="378"/>
      <c r="F28" s="15"/>
      <c r="G28" s="379"/>
      <c r="H28" s="380"/>
      <c r="I28" s="380"/>
      <c r="J28" s="381"/>
      <c r="K28" s="47"/>
      <c r="L28" s="146"/>
      <c r="M28" s="134"/>
      <c r="N28" s="134"/>
      <c r="O28" s="134"/>
      <c r="P28" s="148"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7" t="s">
        <v>559</v>
      </c>
      <c r="E29" s="378"/>
      <c r="F29" s="15"/>
      <c r="G29" s="379"/>
      <c r="H29" s="380"/>
      <c r="I29" s="380"/>
      <c r="J29" s="381"/>
      <c r="K29" s="47"/>
      <c r="L29" s="146"/>
      <c r="M29" s="134"/>
      <c r="N29" s="134"/>
      <c r="O29" s="134"/>
      <c r="P29" s="148"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v>
      </c>
      <c r="C31" s="13"/>
      <c r="D31" s="384" t="str">
        <f ca="1">D25</f>
        <v>Answer</v>
      </c>
      <c r="E31" s="384"/>
      <c r="F31" s="21"/>
      <c r="G31" s="55" t="str">
        <f ca="1">G25</f>
        <v>Comments</v>
      </c>
      <c r="H31" s="55"/>
      <c r="I31" s="55"/>
      <c r="J31" s="99"/>
      <c r="K31" s="47"/>
      <c r="L31" s="140" t="s">
        <v>1369</v>
      </c>
      <c r="M31" s="134"/>
      <c r="N31" s="134"/>
      <c r="O31" s="135"/>
      <c r="P31" s="56">
        <f>COUNTIF(D$26:D$29,"No")</f>
        <v>4</v>
      </c>
      <c r="Q31" s="56" t="str">
        <f>IF(P31=4,""," (*)")</f>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1"/>
      <c r="E32" s="392"/>
      <c r="F32" s="58"/>
      <c r="G32" s="379"/>
      <c r="H32" s="380"/>
      <c r="I32" s="380"/>
      <c r="J32" s="381"/>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 xml:space="preserve">Tin  </v>
      </c>
      <c r="C33" s="13"/>
      <c r="D33" s="377"/>
      <c r="E33" s="378"/>
      <c r="F33" s="58"/>
      <c r="G33" s="379"/>
      <c r="H33" s="380"/>
      <c r="I33" s="380"/>
      <c r="J33" s="381"/>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77"/>
      <c r="E34" s="378"/>
      <c r="F34" s="58"/>
      <c r="G34" s="379"/>
      <c r="H34" s="380"/>
      <c r="I34" s="380"/>
      <c r="J34" s="381"/>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7"/>
      <c r="E35" s="378"/>
      <c r="F35" s="58"/>
      <c r="G35" s="379"/>
      <c r="H35" s="380"/>
      <c r="I35" s="380"/>
      <c r="J35" s="381"/>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v>
      </c>
      <c r="C37" s="13"/>
      <c r="D37" s="384" t="str">
        <f ca="1">D25</f>
        <v>Answer</v>
      </c>
      <c r="E37" s="384"/>
      <c r="F37" s="21"/>
      <c r="G37" s="55" t="str">
        <f ca="1">G25</f>
        <v>Comments</v>
      </c>
      <c r="H37" s="419"/>
      <c r="I37" s="419"/>
      <c r="J37" s="419"/>
      <c r="K37" s="47"/>
      <c r="L37" s="140" t="s">
        <v>1369</v>
      </c>
      <c r="M37" s="134"/>
      <c r="N37" s="134"/>
      <c r="O37" s="135"/>
      <c r="P37" s="56">
        <f>COUNTIF(D$26:D$29,"No")+COUNTIF(D$32:D$35,"No")</f>
        <v>4</v>
      </c>
      <c r="Q37" s="56" t="str">
        <f>IF(P37&gt;3,""," (*)")</f>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7"/>
      <c r="E38" s="378"/>
      <c r="F38" s="58"/>
      <c r="G38" s="379"/>
      <c r="H38" s="380"/>
      <c r="I38" s="380"/>
      <c r="J38" s="381"/>
      <c r="K38" s="47"/>
      <c r="L38" s="146"/>
      <c r="M38" s="136"/>
      <c r="N38" s="134"/>
      <c r="O38" s="135"/>
      <c r="P38" s="148"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 xml:space="preserve">Tin  </v>
      </c>
      <c r="C39" s="13"/>
      <c r="D39" s="377"/>
      <c r="E39" s="378"/>
      <c r="F39" s="58"/>
      <c r="G39" s="379"/>
      <c r="H39" s="380"/>
      <c r="I39" s="380"/>
      <c r="J39" s="381"/>
      <c r="K39" s="47"/>
      <c r="L39" s="146"/>
      <c r="M39" s="134"/>
      <c r="N39" s="134"/>
      <c r="O39" s="135"/>
      <c r="P39" s="148" t="str">
        <f>IF((OR(D$27="No",D$33="No")),"","(*)")</f>
        <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77"/>
      <c r="E40" s="378"/>
      <c r="F40" s="58"/>
      <c r="G40" s="379"/>
      <c r="H40" s="380"/>
      <c r="I40" s="380"/>
      <c r="J40" s="381"/>
      <c r="K40" s="47"/>
      <c r="L40" s="146"/>
      <c r="M40" s="134"/>
      <c r="N40" s="134"/>
      <c r="O40" s="135"/>
      <c r="P40" s="148"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7"/>
      <c r="E41" s="378"/>
      <c r="F41" s="58"/>
      <c r="G41" s="379"/>
      <c r="H41" s="380"/>
      <c r="I41" s="380"/>
      <c r="J41" s="381"/>
      <c r="K41" s="47"/>
      <c r="L41" s="146"/>
      <c r="M41" s="134"/>
      <c r="N41" s="134"/>
      <c r="O41" s="135"/>
      <c r="P41" s="148"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 xml:space="preserve">4) Does 100 percent of the 3TG (necessary to the functionality or production of your products) originate from recycled or scrap sources? </v>
      </c>
      <c r="C43" s="13"/>
      <c r="D43" s="384" t="str">
        <f ca="1">D25</f>
        <v>Answer</v>
      </c>
      <c r="E43" s="384"/>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 xml:space="preserve">Tantalum  </v>
      </c>
      <c r="C44" s="13"/>
      <c r="D44" s="377"/>
      <c r="E44" s="378"/>
      <c r="F44" s="58"/>
      <c r="G44" s="379"/>
      <c r="H44" s="380"/>
      <c r="I44" s="380"/>
      <c r="J44" s="381"/>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 xml:space="preserve">Tin  </v>
      </c>
      <c r="C45" s="13"/>
      <c r="D45" s="377"/>
      <c r="E45" s="378"/>
      <c r="F45" s="58"/>
      <c r="G45" s="379"/>
      <c r="H45" s="380"/>
      <c r="I45" s="380"/>
      <c r="J45" s="381"/>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 xml:space="preserve">Gold  </v>
      </c>
      <c r="C46" s="13"/>
      <c r="D46" s="377"/>
      <c r="E46" s="378"/>
      <c r="F46" s="58"/>
      <c r="G46" s="379"/>
      <c r="H46" s="380"/>
      <c r="I46" s="380"/>
      <c r="J46" s="381"/>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 xml:space="preserve">Tungsten  </v>
      </c>
      <c r="C47" s="13"/>
      <c r="D47" s="377"/>
      <c r="E47" s="378"/>
      <c r="F47" s="58"/>
      <c r="G47" s="379"/>
      <c r="H47" s="380"/>
      <c r="I47" s="380"/>
      <c r="J47" s="381"/>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 xml:space="preserve">5) What percentage of relevant suppliers have provided a response to your supply chain survey? </v>
      </c>
      <c r="C49" s="13"/>
      <c r="D49" s="384" t="str">
        <f ca="1">D25</f>
        <v>Answer</v>
      </c>
      <c r="E49" s="384"/>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46"/>
      <c r="D50" s="382"/>
      <c r="E50" s="383"/>
      <c r="F50" s="58"/>
      <c r="G50" s="379"/>
      <c r="H50" s="380"/>
      <c r="I50" s="380"/>
      <c r="J50" s="381"/>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 xml:space="preserve">Tin  </v>
      </c>
      <c r="C51" s="46"/>
      <c r="D51" s="382"/>
      <c r="E51" s="383"/>
      <c r="F51" s="58"/>
      <c r="G51" s="379"/>
      <c r="H51" s="380"/>
      <c r="I51" s="380"/>
      <c r="J51" s="381"/>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46"/>
      <c r="D52" s="382"/>
      <c r="E52" s="383"/>
      <c r="F52" s="58"/>
      <c r="G52" s="379"/>
      <c r="H52" s="380"/>
      <c r="I52" s="380"/>
      <c r="J52" s="381"/>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46"/>
      <c r="D53" s="382"/>
      <c r="E53" s="383"/>
      <c r="F53" s="58"/>
      <c r="G53" s="379"/>
      <c r="H53" s="380"/>
      <c r="I53" s="380"/>
      <c r="J53" s="381"/>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 xml:space="preserve">6) Have you identified all of the smelters supplying the 3TG to your supply chain? </v>
      </c>
      <c r="C55" s="13"/>
      <c r="D55" s="384" t="str">
        <f ca="1">D25</f>
        <v>Answer</v>
      </c>
      <c r="E55" s="384"/>
      <c r="F55" s="21"/>
      <c r="G55" s="55" t="str">
        <f ca="1">G25</f>
        <v>Comments</v>
      </c>
      <c r="H55" s="418"/>
      <c r="I55" s="418"/>
      <c r="J55" s="418"/>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13"/>
      <c r="D56" s="391"/>
      <c r="E56" s="392"/>
      <c r="F56" s="58"/>
      <c r="G56" s="379"/>
      <c r="H56" s="380"/>
      <c r="I56" s="380"/>
      <c r="J56" s="381"/>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 xml:space="preserve">Tin  </v>
      </c>
      <c r="C57" s="13"/>
      <c r="D57" s="377"/>
      <c r="E57" s="378"/>
      <c r="F57" s="58"/>
      <c r="G57" s="379"/>
      <c r="H57" s="380"/>
      <c r="I57" s="380"/>
      <c r="J57" s="381"/>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13"/>
      <c r="D58" s="377"/>
      <c r="E58" s="378"/>
      <c r="F58" s="58"/>
      <c r="G58" s="379"/>
      <c r="H58" s="380"/>
      <c r="I58" s="380"/>
      <c r="J58" s="381"/>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13"/>
      <c r="D59" s="377"/>
      <c r="E59" s="378"/>
      <c r="F59" s="58"/>
      <c r="G59" s="379"/>
      <c r="H59" s="380"/>
      <c r="I59" s="380"/>
      <c r="J59" s="381"/>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 xml:space="preserve">7) Has all applicable smelter information received by your company been reported in this declaration? </v>
      </c>
      <c r="C61" s="13"/>
      <c r="D61" s="384" t="str">
        <f ca="1">D25</f>
        <v>Answer</v>
      </c>
      <c r="E61" s="384"/>
      <c r="F61" s="21"/>
      <c r="G61" s="55" t="str">
        <f ca="1">G25</f>
        <v>Comments</v>
      </c>
      <c r="H61" s="418" t="str">
        <f>IF(Q69="(*)","Click here to enter smelter names","")</f>
        <v/>
      </c>
      <c r="I61" s="418"/>
      <c r="J61" s="418"/>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46"/>
      <c r="D62" s="377"/>
      <c r="E62" s="378"/>
      <c r="F62" s="59"/>
      <c r="G62" s="379"/>
      <c r="H62" s="380"/>
      <c r="I62" s="380"/>
      <c r="J62" s="381"/>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 xml:space="preserve">Tin  </v>
      </c>
      <c r="C63" s="46"/>
      <c r="D63" s="377"/>
      <c r="E63" s="378"/>
      <c r="F63" s="59"/>
      <c r="G63" s="379"/>
      <c r="H63" s="380"/>
      <c r="I63" s="380"/>
      <c r="J63" s="381"/>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46"/>
      <c r="D64" s="377"/>
      <c r="E64" s="378"/>
      <c r="F64" s="59"/>
      <c r="G64" s="379"/>
      <c r="H64" s="380"/>
      <c r="I64" s="380"/>
      <c r="J64" s="381"/>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 xml:space="preserve">Tungsten  </v>
      </c>
      <c r="C65" s="60"/>
      <c r="D65" s="377"/>
      <c r="E65" s="378"/>
      <c r="F65" s="61"/>
      <c r="G65" s="379"/>
      <c r="H65" s="380"/>
      <c r="I65" s="380"/>
      <c r="J65" s="381"/>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432" t="str">
        <f ca="1">OFFSET(L!$C$1,MATCH("Declaration"&amp;ADDRESS(ROW(),COLUMN(),4),L!$A:$A,0)-1,SL,,)</f>
        <v>Answer the Following Questions at a Company Level</v>
      </c>
      <c r="C67" s="432"/>
      <c r="D67" s="432"/>
      <c r="E67" s="432"/>
      <c r="F67" s="432"/>
      <c r="G67" s="432"/>
      <c r="H67" s="432"/>
      <c r="I67" s="432"/>
      <c r="J67" s="432"/>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421" t="str">
        <f ca="1">D25</f>
        <v>Answer</v>
      </c>
      <c r="E68" s="421"/>
      <c r="F68" s="64"/>
      <c r="G68" s="421" t="str">
        <f ca="1">G25</f>
        <v>Comments</v>
      </c>
      <c r="H68" s="421" t="e">
        <f>HLOOKUP(SL,LT,$O68,0)</f>
        <v>#NAME?</v>
      </c>
      <c r="I68" s="421"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v>
      </c>
      <c r="C69" s="68"/>
      <c r="D69" s="377" t="s">
        <v>558</v>
      </c>
      <c r="E69" s="378"/>
      <c r="F69" s="68"/>
      <c r="G69" s="379"/>
      <c r="H69" s="380"/>
      <c r="I69" s="380"/>
      <c r="J69" s="381"/>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422"/>
      <c r="H70" s="422"/>
      <c r="I70" s="422"/>
      <c r="J70" s="422"/>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v>
      </c>
      <c r="C71" s="68"/>
      <c r="D71" s="377" t="s">
        <v>558</v>
      </c>
      <c r="E71" s="378"/>
      <c r="F71" s="68"/>
      <c r="G71" s="446" t="s">
        <v>15504</v>
      </c>
      <c r="H71" s="393"/>
      <c r="I71" s="393"/>
      <c r="J71" s="394"/>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v>
      </c>
      <c r="C73" s="68"/>
      <c r="D73" s="377" t="s">
        <v>558</v>
      </c>
      <c r="E73" s="378"/>
      <c r="F73" s="68"/>
      <c r="G73" s="379" t="s">
        <v>15505</v>
      </c>
      <c r="H73" s="380"/>
      <c r="I73" s="380"/>
      <c r="J73" s="381"/>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v>
      </c>
      <c r="C75" s="68"/>
      <c r="D75" s="377" t="s">
        <v>558</v>
      </c>
      <c r="E75" s="378"/>
      <c r="F75" s="68"/>
      <c r="G75" s="379"/>
      <c r="H75" s="380"/>
      <c r="I75" s="380"/>
      <c r="J75" s="381"/>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v>
      </c>
      <c r="C77" s="68"/>
      <c r="D77" s="377" t="s">
        <v>558</v>
      </c>
      <c r="E77" s="378"/>
      <c r="F77" s="68"/>
      <c r="G77" s="379"/>
      <c r="H77" s="380"/>
      <c r="I77" s="380"/>
      <c r="J77" s="381"/>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v>
      </c>
      <c r="C79" s="68"/>
      <c r="D79" s="429" t="s">
        <v>13268</v>
      </c>
      <c r="E79" s="430"/>
      <c r="F79" s="68"/>
      <c r="G79" s="379" t="s">
        <v>15506</v>
      </c>
      <c r="H79" s="380"/>
      <c r="I79" s="380"/>
      <c r="J79" s="381"/>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422"/>
      <c r="H80" s="422"/>
      <c r="I80" s="422"/>
      <c r="J80" s="422"/>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v>
      </c>
      <c r="C81" s="68"/>
      <c r="D81" s="377" t="s">
        <v>558</v>
      </c>
      <c r="E81" s="378"/>
      <c r="F81" s="68"/>
      <c r="G81" s="379"/>
      <c r="H81" s="380"/>
      <c r="I81" s="380"/>
      <c r="J81" s="381"/>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431"/>
      <c r="H82" s="431"/>
      <c r="I82" s="431"/>
      <c r="J82" s="431"/>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v>
      </c>
      <c r="C83" s="68"/>
      <c r="D83" s="377" t="s">
        <v>558</v>
      </c>
      <c r="E83" s="378"/>
      <c r="F83" s="68"/>
      <c r="G83" s="379"/>
      <c r="H83" s="380"/>
      <c r="I83" s="380"/>
      <c r="J83" s="381"/>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v>
      </c>
      <c r="C85" s="68"/>
      <c r="D85" s="377" t="s">
        <v>559</v>
      </c>
      <c r="E85" s="378"/>
      <c r="F85" s="68"/>
      <c r="G85" s="379"/>
      <c r="H85" s="380"/>
      <c r="I85" s="380"/>
      <c r="J85" s="381"/>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428" t="str">
        <f>IF(OR($D$8="",$I$3=""),"","Click here to check required fields completion")</f>
        <v/>
      </c>
      <c r="C86" s="428"/>
      <c r="D86" s="428"/>
      <c r="E86" s="428"/>
      <c r="F86" s="428"/>
      <c r="G86" s="428"/>
      <c r="H86" s="428"/>
      <c r="I86" s="428"/>
      <c r="J86" s="428"/>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426" t="str">
        <f ca="1">OFFSET(L!$C$1,MATCH("General"&amp;"Cpy",L!$A:$A,0)-1,SL,,)</f>
        <v>© 2019 Responsible Minerals Initiative. All rights reserved.</v>
      </c>
      <c r="B87" s="427"/>
      <c r="C87" s="427"/>
      <c r="D87" s="427"/>
      <c r="E87" s="427"/>
      <c r="F87" s="427"/>
      <c r="G87" s="427"/>
      <c r="H87" s="427"/>
      <c r="I87" s="427"/>
      <c r="J87" s="427"/>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80" priority="51" stopIfTrue="1">
      <formula>AND(OR($D$26="No",AND($D$26="Yes",$D$32="No")),OR($D$27="No",AND($D$27="Yes",$D$33="No")), OR($D$28="No",AND($D$28="Yes",$D$34="No")), OR($D$29="No",AND($D$29="Yes",$D$35="No")))</formula>
    </cfRule>
    <cfRule type="expression" dxfId="79" priority="52" stopIfTrue="1">
      <formula>IF(D69="",TRUE)</formula>
    </cfRule>
  </conditionalFormatting>
  <conditionalFormatting sqref="G71:J71">
    <cfRule type="expression" dxfId="78" priority="23" stopIfTrue="1">
      <formula>IF(AND($D$71="Yes",$G$71=""),TRUE)</formula>
    </cfRule>
  </conditionalFormatting>
  <conditionalFormatting sqref="D26:E26">
    <cfRule type="expression" dxfId="77" priority="103" stopIfTrue="1">
      <formula>IF($D$26="",TRUE)</formula>
    </cfRule>
  </conditionalFormatting>
  <conditionalFormatting sqref="D27:E27">
    <cfRule type="expression" dxfId="76" priority="110" stopIfTrue="1">
      <formula>IF($D$27="",TRUE)</formula>
    </cfRule>
  </conditionalFormatting>
  <conditionalFormatting sqref="D28:E28">
    <cfRule type="expression" dxfId="75" priority="111" stopIfTrue="1">
      <formula>IF($D$28="",TRUE)</formula>
    </cfRule>
  </conditionalFormatting>
  <conditionalFormatting sqref="D29:E29">
    <cfRule type="expression" dxfId="74" priority="112" stopIfTrue="1">
      <formula>IF($D$29="",TRUE)</formula>
    </cfRule>
  </conditionalFormatting>
  <conditionalFormatting sqref="D8:J8">
    <cfRule type="expression" dxfId="73" priority="117" stopIfTrue="1">
      <formula>IF($D$8="",TRUE)</formula>
    </cfRule>
  </conditionalFormatting>
  <conditionalFormatting sqref="D9:G9">
    <cfRule type="expression" dxfId="72" priority="118" stopIfTrue="1">
      <formula>IF($D$9="",TRUE)</formula>
    </cfRule>
  </conditionalFormatting>
  <conditionalFormatting sqref="D15:J15">
    <cfRule type="expression" dxfId="71" priority="119" stopIfTrue="1">
      <formula>IF($D$15="",TRUE)</formula>
    </cfRule>
  </conditionalFormatting>
  <conditionalFormatting sqref="D16:J16">
    <cfRule type="expression" dxfId="70" priority="120" stopIfTrue="1">
      <formula>IF($D$16="",TRUE)</formula>
    </cfRule>
  </conditionalFormatting>
  <conditionalFormatting sqref="D17:J17">
    <cfRule type="expression" dxfId="69" priority="121" stopIfTrue="1">
      <formula>IF($D$17="",TRUE)</formula>
    </cfRule>
  </conditionalFormatting>
  <conditionalFormatting sqref="D18:J18">
    <cfRule type="expression" dxfId="68" priority="122" stopIfTrue="1">
      <formula>IF($D$18="",TRUE)</formula>
    </cfRule>
  </conditionalFormatting>
  <conditionalFormatting sqref="D22:E22">
    <cfRule type="expression" dxfId="67" priority="125" stopIfTrue="1">
      <formula>IF($D$22="",TRUE)</formula>
    </cfRule>
  </conditionalFormatting>
  <conditionalFormatting sqref="D10:J10">
    <cfRule type="expression" dxfId="66" priority="22" stopIfTrue="1">
      <formula>IF($D$9=$Q$9,TRUE)</formula>
    </cfRule>
    <cfRule type="expression" dxfId="65" priority="132" stopIfTrue="1">
      <formula>IF(AND($D$10="",$D$9=$R$9),TRUE)</formula>
    </cfRule>
  </conditionalFormatting>
  <conditionalFormatting sqref="D34:E34 D40:E40 D46:E46 D52:E52 D58:E58 D64:E64">
    <cfRule type="expression" dxfId="64" priority="15" stopIfTrue="1">
      <formula>$P$28=""</formula>
    </cfRule>
  </conditionalFormatting>
  <conditionalFormatting sqref="D35:E35 D41:E41 D47:E47 D53:E53 D59:E59 D65:E65">
    <cfRule type="expression" dxfId="63" priority="130" stopIfTrue="1">
      <formula>$P$29=""</formula>
    </cfRule>
  </conditionalFormatting>
  <conditionalFormatting sqref="D32:E32">
    <cfRule type="expression" dxfId="62" priority="108" stopIfTrue="1">
      <formula>$P$26=""</formula>
    </cfRule>
  </conditionalFormatting>
  <conditionalFormatting sqref="D32:E32">
    <cfRule type="expression" dxfId="61" priority="21" stopIfTrue="1">
      <formula>IF(AND(OR($D$26="Yes",$D$26=""),$D$32=""),1,0)</formula>
    </cfRule>
  </conditionalFormatting>
  <conditionalFormatting sqref="D38 D44 D50 D56 D62">
    <cfRule type="expression" dxfId="60" priority="17" stopIfTrue="1">
      <formula>$P$32=""</formula>
    </cfRule>
  </conditionalFormatting>
  <conditionalFormatting sqref="D39:E39 D45 D51 D57 D63">
    <cfRule type="expression" dxfId="59" priority="16" stopIfTrue="1">
      <formula>$P$33=""</formula>
    </cfRule>
  </conditionalFormatting>
  <conditionalFormatting sqref="D40 D46 D52 D58 D64">
    <cfRule type="expression" dxfId="58" priority="6" stopIfTrue="1">
      <formula>$P$34=""</formula>
    </cfRule>
    <cfRule type="expression" dxfId="57" priority="128" stopIfTrue="1">
      <formula>IF(AND(OR($D$28="Yes",$D$28=""),D40=""),1,0)</formula>
    </cfRule>
  </conditionalFormatting>
  <conditionalFormatting sqref="D41 D47 D53 D59 D65">
    <cfRule type="expression" dxfId="56" priority="14" stopIfTrue="1">
      <formula>$P$35=""</formula>
    </cfRule>
  </conditionalFormatting>
  <conditionalFormatting sqref="D38:E38 D44:E44 D50:E50 D56:E56 D62:E62">
    <cfRule type="expression" dxfId="55" priority="19" stopIfTrue="1">
      <formula>$P$26=""</formula>
    </cfRule>
    <cfRule type="expression" dxfId="54" priority="20" stopIfTrue="1">
      <formula>IF(AND(OR($D$26="Yes",$D$26=""),D38=""),1,0)</formula>
    </cfRule>
  </conditionalFormatting>
  <conditionalFormatting sqref="G79:J79">
    <cfRule type="expression" dxfId="53" priority="13" stopIfTrue="1">
      <formula>IF(AND($D$79="Yes, using other format (describe)",$G$79=""),TRUE)</formula>
    </cfRule>
  </conditionalFormatting>
  <conditionalFormatting sqref="D39:E39 D45:E45 D51:E51 D57:E57 D63:E63">
    <cfRule type="expression" dxfId="52" priority="126" stopIfTrue="1">
      <formula>$P$39=""</formula>
    </cfRule>
    <cfRule type="expression" dxfId="51" priority="127" stopIfTrue="1">
      <formula>IF(AND(OR($D$27="Yes",$D$27=""),D39=""),1,0)</formula>
    </cfRule>
  </conditionalFormatting>
  <conditionalFormatting sqref="D33:E33">
    <cfRule type="expression" dxfId="50" priority="8" stopIfTrue="1">
      <formula>IF(AND(OR($D$27="Yes",$D$27=""),$D$33=""),1,0)</formula>
    </cfRule>
    <cfRule type="expression" dxfId="49" priority="9" stopIfTrue="1">
      <formula>$P$27=""</formula>
    </cfRule>
  </conditionalFormatting>
  <conditionalFormatting sqref="D34:E34">
    <cfRule type="expression" dxfId="48" priority="129" stopIfTrue="1">
      <formula>IF(AND(OR($D$28="Yes",$D$28=""),$D$34=""),1,0)</formula>
    </cfRule>
  </conditionalFormatting>
  <conditionalFormatting sqref="D41:E41 D47:E47 D53:E53 D59:E59 D65:E65">
    <cfRule type="expression" dxfId="47" priority="131" stopIfTrue="1">
      <formula>IF(AND(OR($D$29="Yes",$D$29=""),D41=""),1,0)</formula>
    </cfRule>
  </conditionalFormatting>
  <conditionalFormatting sqref="D35:E35">
    <cfRule type="expression" dxfId="46" priority="5" stopIfTrue="1">
      <formula>IF(AND(OR($D$29="Yes",$D$29=""),$D$35=""),1,0)</formula>
    </cfRule>
  </conditionalFormatting>
  <conditionalFormatting sqref="D20:J20">
    <cfRule type="expression" dxfId="45" priority="1" stopIfTrue="1">
      <formula>IF($D$20="",TRUE)</formula>
    </cfRule>
  </conditionalFormatting>
  <conditionalFormatting sqref="D21:J21">
    <cfRule type="expression" dxfId="44" priority="2"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D16" r:id="rId3" xr:uid="{E2BC6427-786E-49F9-ABAB-FE1147D529FB}"/>
    <hyperlink ref="D20" r:id="rId4" xr:uid="{58608D57-04F9-47DA-AF06-58EDF9248EAB}"/>
    <hyperlink ref="G71" r:id="rId5" xr:uid="{E0EECEC9-9294-4191-AEE3-97C1A237BF0B}"/>
  </hyperlinks>
  <pageMargins left="0.70866141732283505" right="0.70866141732283505" top="0.74803149606299202" bottom="0.74803149606299202" header="0.31496062992126" footer="0.31496062992126"/>
  <pageSetup scale="41" fitToHeight="0" orientation="portrait" r:id="rId6"/>
  <rowBreaks count="1" manualBreakCount="1">
    <brk id="60"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topLeftCell="A7" zoomScaleNormal="100" zoomScalePageLayoutView="55" workbookViewId="0">
      <selection activeCell="A5" sqref="A5"/>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33" t="str">
        <f ca="1">OFFSET(L!$C$1,MATCH("Smelter List"&amp;ADDRESS(ROW(),COLUMN(),4),L!$A:$A,0)-1,SL,,)</f>
        <v>Link to "RMAP Conformant Smelter List"</v>
      </c>
      <c r="K2" s="434"/>
      <c r="L2" s="434"/>
      <c r="M2" s="434"/>
      <c r="N2" s="434"/>
      <c r="O2" s="434"/>
      <c r="P2" s="232"/>
      <c r="Q2" s="233"/>
      <c r="R2" s="234"/>
      <c r="S2" s="234"/>
      <c r="T2" s="234"/>
      <c r="U2" s="261"/>
      <c r="V2" s="261"/>
      <c r="W2" s="262"/>
      <c r="X2" s="261"/>
      <c r="Y2" s="261"/>
      <c r="Z2" s="261"/>
      <c r="AH2" s="178" t="s">
        <v>558</v>
      </c>
    </row>
    <row r="3" spans="1:34" s="263" customFormat="1" ht="255.6" customHeight="1">
      <c r="A3" s="204"/>
      <c r="B3" s="43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5"/>
      <c r="D3" s="435"/>
      <c r="E3" s="435"/>
      <c r="F3" s="264"/>
      <c r="G3" s="436" t="str">
        <f ca="1">OFFSET(L!$C$1,MATCH("General"&amp;"Cpy",L!$A:$A,0)-1,SL,,)</f>
        <v>© 2019 Responsible Minerals Initiative. All rights reserved.</v>
      </c>
      <c r="H3" s="436"/>
      <c r="I3" s="437"/>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0.100000000000001" customHeight="1">
      <c r="A5" s="215"/>
      <c r="B5" s="216" t="str">
        <f>IF(LEN(A5)=0,"",INDEX('Smelter Look-up'!$A:$A,MATCH($A5,'Smelter Look-up'!$E:$E,0)))</f>
        <v/>
      </c>
      <c r="C5" s="220" t="str">
        <f>IF(LEN(A5)=0,"",INDEX('Smelter Look-up'!$C:$C,MATCH($A5,'Smelter Look-up'!$E:$E,0)))</f>
        <v/>
      </c>
      <c r="D5" s="216"/>
      <c r="E5" s="216" t="str">
        <f ca="1">IF(ISERROR($V5),"",OFFSET('Smelter Look-up'!$D$4,$V5-4,0)&amp;"")</f>
        <v/>
      </c>
      <c r="F5" s="216" t="str">
        <f ca="1">IF(ISERROR($V5),"",OFFSET('Smelter Look-up'!$E$4,$V5-4,0))</f>
        <v/>
      </c>
      <c r="G5" s="216" t="str">
        <f ca="1">IF(C5=$X$4,"Enter smelter details", IF(ISERROR($V5),"",OFFSET('Smelter Look-up'!$F$4,$V5-4,0)))</f>
        <v/>
      </c>
      <c r="H5" s="217" t="str">
        <f ca="1">IF(ISERROR($V5),"",OFFSET('Smelter Look-up'!$G$4,$V5-4,0))</f>
        <v/>
      </c>
      <c r="I5" s="218" t="str">
        <f ca="1">IF(ISERROR($V5),"",OFFSET('Smelter Look-up'!$H$4,$V5-4,0))</f>
        <v/>
      </c>
      <c r="J5" s="218" t="str">
        <f ca="1">IF(ISERROR($V5),"",OFFSET('Smelter Look-up'!$I$4,$V5-4,0))</f>
        <v/>
      </c>
      <c r="K5" s="267"/>
      <c r="L5" s="267"/>
      <c r="M5" s="267"/>
      <c r="N5" s="267"/>
      <c r="O5" s="267"/>
      <c r="P5" s="219"/>
      <c r="Q5" s="268"/>
      <c r="R5" s="216" t="str">
        <f ca="1">IF(ISERROR($V5),"",OFFSET('Smelter Look-up'!$C$4,$V5-4,0)&amp;"")</f>
        <v/>
      </c>
      <c r="S5" s="224" t="str">
        <f t="shared" ref="S5:S68" ca="1" si="0">IF(B5="","",IF(ISERROR(MATCH($E5,CL,0)),"Unknown",INDIRECT("'C'!$A$"&amp;MATCH($E5,CL,0)+1)))</f>
        <v/>
      </c>
      <c r="T5" s="224" t="str">
        <f ca="1">IF(B5="","",IF(ISERROR(MATCH($J5,SorP!$B$1:$B$6230,0)),"",INDIRECT("'SorP'!$A$"&amp;MATCH($J5,SorP!$B$1:$B$6230,0))))</f>
        <v/>
      </c>
      <c r="U5" s="239"/>
      <c r="V5" s="269" t="e">
        <f>IF(C5="",NA(),MATCH($B5&amp;$C5,'Smelter Look-up'!$J:$J,0))</f>
        <v>#N/A</v>
      </c>
      <c r="W5" s="270"/>
      <c r="X5" s="270">
        <f t="shared" ref="X5:X68" ca="1" si="1">IF(AND(C5="Smelter not listed",OR(LEN(D5)=0,LEN(E5)=0)),1,0)</f>
        <v>0</v>
      </c>
      <c r="Y5" s="270"/>
      <c r="Z5" s="270"/>
      <c r="AB5" s="272" t="str">
        <f t="shared" ref="AB5:AB68" si="2">B5&amp;C5</f>
        <v/>
      </c>
    </row>
    <row r="6" spans="1:34" s="271" customFormat="1" ht="20.100000000000001" customHeight="1">
      <c r="A6" s="215"/>
      <c r="B6" s="216" t="str">
        <f>IF(LEN(A6)=0,"",INDEX('Smelter Look-up'!$A:$A,MATCH($A6,'Smelter Look-up'!$E:$E,0)))</f>
        <v/>
      </c>
      <c r="C6" s="220" t="str">
        <f>IF(LEN(A6)=0,"",INDEX('Smelter Look-up'!$C:$C,MATCH($A6,'Smelter Look-up'!$E:$E,0)))</f>
        <v/>
      </c>
      <c r="D6" s="216"/>
      <c r="E6" s="216" t="str">
        <f ca="1">IF(ISERROR($V6),"",OFFSET('Smelter Look-up'!$D$4,$V6-4,0)&amp;"")</f>
        <v/>
      </c>
      <c r="F6" s="216" t="str">
        <f ca="1">IF(ISERROR($V6),"",OFFSET('Smelter Look-up'!$E$4,$V6-4,0))</f>
        <v/>
      </c>
      <c r="G6" s="216" t="str">
        <f ca="1">IF(C6=$X$4,"Enter smelter details", IF(ISERROR($V6),"",OFFSET('Smelter Look-up'!$F$4,$V6-4,0)))</f>
        <v/>
      </c>
      <c r="H6" s="217" t="str">
        <f ca="1">IF(ISERROR($V6),"",OFFSET('Smelter Look-up'!$G$4,$V6-4,0))</f>
        <v/>
      </c>
      <c r="I6" s="218" t="str">
        <f ca="1">IF(ISERROR($V6),"",OFFSET('Smelter Look-up'!$H$4,$V6-4,0))</f>
        <v/>
      </c>
      <c r="J6" s="218" t="str">
        <f ca="1">IF(ISERROR($V6),"",OFFSET('Smelter Look-up'!$I$4,$V6-4,0))</f>
        <v/>
      </c>
      <c r="K6" s="267"/>
      <c r="L6" s="267"/>
      <c r="M6" s="267"/>
      <c r="N6" s="267"/>
      <c r="O6" s="267"/>
      <c r="P6" s="219"/>
      <c r="Q6" s="268"/>
      <c r="R6" s="216" t="str">
        <f ca="1">IF(ISERROR($V6),"",OFFSET('Smelter Look-up'!$C$4,$V6-4,0)&amp;"")</f>
        <v/>
      </c>
      <c r="S6" s="224" t="str">
        <f t="shared" ca="1" si="0"/>
        <v/>
      </c>
      <c r="T6" s="224" t="str">
        <f ca="1">IF(B6="","",IF(ISERROR(MATCH($J6,SorP!$B$1:$B$6230,0)),"",INDIRECT("'SorP'!$A$"&amp;MATCH($J6,SorP!$B$1:$B$6230,0))))</f>
        <v/>
      </c>
      <c r="U6" s="239"/>
      <c r="V6" s="269" t="e">
        <f>IF(C6="",NA(),MATCH($B6&amp;$C6,'Smelter Look-up'!$J:$J,0))</f>
        <v>#N/A</v>
      </c>
      <c r="W6" s="270"/>
      <c r="X6" s="270">
        <f t="shared" ca="1" si="1"/>
        <v>0</v>
      </c>
      <c r="Y6" s="270"/>
      <c r="Z6" s="270"/>
      <c r="AB6" s="272" t="str">
        <f t="shared" si="2"/>
        <v/>
      </c>
    </row>
    <row r="7" spans="1:34" s="271" customFormat="1" ht="20.100000000000001" customHeight="1">
      <c r="A7" s="215"/>
      <c r="B7" s="216" t="str">
        <f>IF(LEN(A7)=0,"",INDEX('Smelter Look-up'!$A:$A,MATCH($A7,'Smelter Look-up'!$E:$E,0)))</f>
        <v/>
      </c>
      <c r="C7" s="220" t="str">
        <f>IF(LEN(A7)=0,"",INDEX('Smelter Look-up'!$C:$C,MATCH($A7,'Smelter Look-up'!$E:$E,0)))</f>
        <v/>
      </c>
      <c r="D7" s="216"/>
      <c r="E7" s="216" t="str">
        <f ca="1">IF(ISERROR($V7),"",OFFSET('Smelter Look-up'!$D$4,$V7-4,0)&amp;"")</f>
        <v/>
      </c>
      <c r="F7" s="216" t="str">
        <f ca="1">IF(ISERROR($V7),"",OFFSET('Smelter Look-up'!$E$4,$V7-4,0))</f>
        <v/>
      </c>
      <c r="G7" s="216" t="str">
        <f ca="1">IF(C7=$X$4,"Enter smelter details", IF(ISERROR($V7),"",OFFSET('Smelter Look-up'!$F$4,$V7-4,0)))</f>
        <v/>
      </c>
      <c r="H7" s="217" t="str">
        <f ca="1">IF(ISERROR($V7),"",OFFSET('Smelter Look-up'!$G$4,$V7-4,0))</f>
        <v/>
      </c>
      <c r="I7" s="218" t="str">
        <f ca="1">IF(ISERROR($V7),"",OFFSET('Smelter Look-up'!$H$4,$V7-4,0))</f>
        <v/>
      </c>
      <c r="J7" s="218" t="str">
        <f ca="1">IF(ISERROR($V7),"",OFFSET('Smelter Look-up'!$I$4,$V7-4,0))</f>
        <v/>
      </c>
      <c r="K7" s="267"/>
      <c r="L7" s="267"/>
      <c r="M7" s="267"/>
      <c r="N7" s="267"/>
      <c r="O7" s="267"/>
      <c r="P7" s="219"/>
      <c r="Q7" s="268"/>
      <c r="R7" s="216" t="str">
        <f ca="1">IF(ISERROR($V7),"",OFFSET('Smelter Look-up'!$C$4,$V7-4,0)&amp;"")</f>
        <v/>
      </c>
      <c r="S7" s="224" t="str">
        <f t="shared" ca="1" si="0"/>
        <v/>
      </c>
      <c r="T7" s="224" t="str">
        <f ca="1">IF(B7="","",IF(ISERROR(MATCH($J7,SorP!$B$1:$B$6230,0)),"",INDIRECT("'SorP'!$A$"&amp;MATCH($J7,SorP!$B$1:$B$6230,0))))</f>
        <v/>
      </c>
      <c r="U7" s="239"/>
      <c r="V7" s="269" t="e">
        <f>IF(C7="",NA(),MATCH($B7&amp;$C7,'Smelter Look-up'!$J:$J,0))</f>
        <v>#N/A</v>
      </c>
      <c r="W7" s="270"/>
      <c r="X7" s="270">
        <f t="shared" ca="1" si="1"/>
        <v>0</v>
      </c>
      <c r="Y7" s="270"/>
      <c r="Z7" s="270"/>
      <c r="AB7" s="272" t="str">
        <f t="shared" si="2"/>
        <v/>
      </c>
    </row>
    <row r="8" spans="1:34" s="271" customFormat="1" ht="20.100000000000001" customHeight="1">
      <c r="A8" s="215"/>
      <c r="B8" s="216" t="str">
        <f>IF(LEN(A8)=0,"",INDEX('Smelter Look-up'!$A:$A,MATCH($A8,'Smelter Look-up'!$E:$E,0)))</f>
        <v/>
      </c>
      <c r="C8" s="220" t="str">
        <f>IF(LEN(A8)=0,"",INDEX('Smelter Look-up'!$C:$C,MATCH($A8,'Smelter Look-up'!$E:$E,0)))</f>
        <v/>
      </c>
      <c r="D8" s="216"/>
      <c r="E8" s="216" t="str">
        <f ca="1">IF(ISERROR($V8),"",OFFSET('Smelter Look-up'!$D$4,$V8-4,0)&amp;"")</f>
        <v/>
      </c>
      <c r="F8" s="216" t="str">
        <f ca="1">IF(ISERROR($V8),"",OFFSET('Smelter Look-up'!$E$4,$V8-4,0))</f>
        <v/>
      </c>
      <c r="G8" s="216" t="str">
        <f ca="1">IF(C8=$X$4,"Enter smelter details", IF(ISERROR($V8),"",OFFSET('Smelter Look-up'!$F$4,$V8-4,0)))</f>
        <v/>
      </c>
      <c r="H8" s="217" t="str">
        <f ca="1">IF(ISERROR($V8),"",OFFSET('Smelter Look-up'!$G$4,$V8-4,0))</f>
        <v/>
      </c>
      <c r="I8" s="218" t="str">
        <f ca="1">IF(ISERROR($V8),"",OFFSET('Smelter Look-up'!$H$4,$V8-4,0))</f>
        <v/>
      </c>
      <c r="J8" s="218" t="str">
        <f ca="1">IF(ISERROR($V8),"",OFFSET('Smelter Look-up'!$I$4,$V8-4,0))</f>
        <v/>
      </c>
      <c r="K8" s="267"/>
      <c r="L8" s="267"/>
      <c r="M8" s="267"/>
      <c r="N8" s="267"/>
      <c r="O8" s="267"/>
      <c r="P8" s="219"/>
      <c r="Q8" s="268"/>
      <c r="R8" s="216" t="str">
        <f ca="1">IF(ISERROR($V8),"",OFFSET('Smelter Look-up'!$C$4,$V8-4,0)&amp;"")</f>
        <v/>
      </c>
      <c r="S8" s="224" t="str">
        <f t="shared" ca="1" si="0"/>
        <v/>
      </c>
      <c r="T8" s="224" t="str">
        <f ca="1">IF(B8="","",IF(ISERROR(MATCH($J8,SorP!$B$1:$B$6230,0)),"",INDIRECT("'SorP'!$A$"&amp;MATCH($J8,SorP!$B$1:$B$6230,0))))</f>
        <v/>
      </c>
      <c r="U8" s="239"/>
      <c r="V8" s="269" t="e">
        <f>IF(C8="",NA(),MATCH($B8&amp;$C8,'Smelter Look-up'!$J:$J,0))</f>
        <v>#N/A</v>
      </c>
      <c r="W8" s="270"/>
      <c r="X8" s="270">
        <f t="shared" ca="1" si="1"/>
        <v>0</v>
      </c>
      <c r="Y8" s="270"/>
      <c r="Z8" s="270"/>
      <c r="AB8" s="272" t="str">
        <f t="shared" si="2"/>
        <v/>
      </c>
    </row>
    <row r="9" spans="1:34" s="271" customFormat="1" ht="20.100000000000001" customHeight="1">
      <c r="A9" s="215"/>
      <c r="B9" s="216" t="str">
        <f>IF(LEN(A9)=0,"",INDEX('Smelter Look-up'!$A:$A,MATCH($A9,'Smelter Look-up'!$E:$E,0)))</f>
        <v/>
      </c>
      <c r="C9" s="220" t="str">
        <f>IF(LEN(A9)=0,"",INDEX('Smelter Look-up'!$C:$C,MATCH($A9,'Smelter Look-up'!$E:$E,0)))</f>
        <v/>
      </c>
      <c r="D9" s="216"/>
      <c r="E9" s="216" t="str">
        <f ca="1">IF(ISERROR($V9),"",OFFSET('Smelter Look-up'!$D$4,$V9-4,0)&amp;"")</f>
        <v/>
      </c>
      <c r="F9" s="216" t="str">
        <f ca="1">IF(ISERROR($V9),"",OFFSET('Smelter Look-up'!$E$4,$V9-4,0))</f>
        <v/>
      </c>
      <c r="G9" s="216" t="str">
        <f ca="1">IF(C9=$X$4,"Enter smelter details", IF(ISERROR($V9),"",OFFSET('Smelter Look-up'!$F$4,$V9-4,0)))</f>
        <v/>
      </c>
      <c r="H9" s="217" t="str">
        <f ca="1">IF(ISERROR($V9),"",OFFSET('Smelter Look-up'!$G$4,$V9-4,0))</f>
        <v/>
      </c>
      <c r="I9" s="218" t="str">
        <f ca="1">IF(ISERROR($V9),"",OFFSET('Smelter Look-up'!$H$4,$V9-4,0))</f>
        <v/>
      </c>
      <c r="J9" s="218" t="str">
        <f ca="1">IF(ISERROR($V9),"",OFFSET('Smelter Look-up'!$I$4,$V9-4,0))</f>
        <v/>
      </c>
      <c r="K9" s="267"/>
      <c r="L9" s="267"/>
      <c r="M9" s="267"/>
      <c r="N9" s="267"/>
      <c r="O9" s="267"/>
      <c r="P9" s="219"/>
      <c r="Q9" s="268"/>
      <c r="R9" s="216" t="str">
        <f ca="1">IF(ISERROR($V9),"",OFFSET('Smelter Look-up'!$C$4,$V9-4,0)&amp;"")</f>
        <v/>
      </c>
      <c r="S9" s="224" t="str">
        <f t="shared" ca="1" si="0"/>
        <v/>
      </c>
      <c r="T9" s="224" t="str">
        <f ca="1">IF(B9="","",IF(ISERROR(MATCH($J9,SorP!$B$1:$B$6230,0)),"",INDIRECT("'SorP'!$A$"&amp;MATCH($J9,SorP!$B$1:$B$6230,0))))</f>
        <v/>
      </c>
      <c r="U9" s="239"/>
      <c r="V9" s="269" t="e">
        <f>IF(C9="",NA(),MATCH($B9&amp;$C9,'Smelter Look-up'!$J:$J,0))</f>
        <v>#N/A</v>
      </c>
      <c r="W9" s="270"/>
      <c r="X9" s="270">
        <f t="shared" ca="1" si="1"/>
        <v>0</v>
      </c>
      <c r="Y9" s="270"/>
      <c r="Z9" s="270"/>
      <c r="AB9" s="272" t="str">
        <f t="shared" si="2"/>
        <v/>
      </c>
    </row>
    <row r="10" spans="1:34" s="271" customFormat="1" ht="20.100000000000001" customHeight="1">
      <c r="A10" s="215"/>
      <c r="B10" s="216" t="str">
        <f>IF(LEN(A10)=0,"",INDEX('Smelter Look-up'!$A:$A,MATCH($A10,'Smelter Look-up'!$E:$E,0)))</f>
        <v/>
      </c>
      <c r="C10" s="220" t="str">
        <f>IF(LEN(A10)=0,"",INDEX('Smelter Look-up'!$C:$C,MATCH($A10,'Smelter Look-up'!$E:$E,0)))</f>
        <v/>
      </c>
      <c r="D10" s="216"/>
      <c r="E10" s="216" t="str">
        <f ca="1">IF(ISERROR($V10),"",OFFSET('Smelter Look-up'!$D$4,$V10-4,0)&amp;"")</f>
        <v/>
      </c>
      <c r="F10" s="216" t="str">
        <f ca="1">IF(ISERROR($V10),"",OFFSET('Smelter Look-up'!$E$4,$V10-4,0))</f>
        <v/>
      </c>
      <c r="G10" s="216" t="str">
        <f ca="1">IF(C10=$X$4,"Enter smelter details", IF(ISERROR($V10),"",OFFSET('Smelter Look-up'!$F$4,$V10-4,0)))</f>
        <v/>
      </c>
      <c r="H10" s="217" t="str">
        <f ca="1">IF(ISERROR($V10),"",OFFSET('Smelter Look-up'!$G$4,$V10-4,0))</f>
        <v/>
      </c>
      <c r="I10" s="218" t="str">
        <f ca="1">IF(ISERROR($V10),"",OFFSET('Smelter Look-up'!$H$4,$V10-4,0))</f>
        <v/>
      </c>
      <c r="J10" s="218" t="str">
        <f ca="1">IF(ISERROR($V10),"",OFFSET('Smelter Look-up'!$I$4,$V10-4,0))</f>
        <v/>
      </c>
      <c r="K10" s="267"/>
      <c r="L10" s="267"/>
      <c r="M10" s="267"/>
      <c r="N10" s="267"/>
      <c r="O10" s="267"/>
      <c r="P10" s="219"/>
      <c r="Q10" s="268"/>
      <c r="R10" s="216" t="str">
        <f ca="1">IF(ISERROR($V10),"",OFFSET('Smelter Look-up'!$C$4,$V10-4,0)&amp;"")</f>
        <v/>
      </c>
      <c r="S10" s="224" t="str">
        <f t="shared" ca="1" si="0"/>
        <v/>
      </c>
      <c r="T10" s="224" t="str">
        <f ca="1">IF(B10="","",IF(ISERROR(MATCH($J10,SorP!$B$1:$B$6230,0)),"",INDIRECT("'SorP'!$A$"&amp;MATCH($J10,SorP!$B$1:$B$6230,0))))</f>
        <v/>
      </c>
      <c r="U10" s="239"/>
      <c r="V10" s="269" t="e">
        <f>IF(C10="",NA(),MATCH($B10&amp;$C10,'Smelter Look-up'!$J:$J,0))</f>
        <v>#N/A</v>
      </c>
      <c r="W10" s="270"/>
      <c r="X10" s="270">
        <f t="shared" ca="1" si="1"/>
        <v>0</v>
      </c>
      <c r="Y10" s="270"/>
      <c r="Z10" s="270"/>
      <c r="AB10" s="272" t="str">
        <f t="shared" si="2"/>
        <v/>
      </c>
    </row>
    <row r="11" spans="1:34" s="271" customFormat="1" ht="20.100000000000001" customHeight="1">
      <c r="A11" s="215"/>
      <c r="B11" s="216" t="str">
        <f>IF(LEN(A11)=0,"",INDEX('Smelter Look-up'!$A:$A,MATCH($A11,'Smelter Look-up'!$E:$E,0)))</f>
        <v/>
      </c>
      <c r="C11" s="220" t="str">
        <f>IF(LEN(A11)=0,"",INDEX('Smelter Look-up'!$C:$C,MATCH($A11,'Smelter Look-up'!$E:$E,0)))</f>
        <v/>
      </c>
      <c r="D11" s="216"/>
      <c r="E11" s="216" t="str">
        <f ca="1">IF(ISERROR($V11),"",OFFSET('Smelter Look-up'!$D$4,$V11-4,0)&amp;"")</f>
        <v/>
      </c>
      <c r="F11" s="216" t="str">
        <f ca="1">IF(ISERROR($V11),"",OFFSET('Smelter Look-up'!$E$4,$V11-4,0))</f>
        <v/>
      </c>
      <c r="G11" s="216" t="str">
        <f ca="1">IF(C11=$X$4,"Enter smelter details", IF(ISERROR($V11),"",OFFSET('Smelter Look-up'!$F$4,$V11-4,0)))</f>
        <v/>
      </c>
      <c r="H11" s="217" t="str">
        <f ca="1">IF(ISERROR($V11),"",OFFSET('Smelter Look-up'!$G$4,$V11-4,0))</f>
        <v/>
      </c>
      <c r="I11" s="218" t="str">
        <f ca="1">IF(ISERROR($V11),"",OFFSET('Smelter Look-up'!$H$4,$V11-4,0))</f>
        <v/>
      </c>
      <c r="J11" s="218" t="str">
        <f ca="1">IF(ISERROR($V11),"",OFFSET('Smelter Look-up'!$I$4,$V11-4,0))</f>
        <v/>
      </c>
      <c r="K11" s="267"/>
      <c r="L11" s="267"/>
      <c r="M11" s="267"/>
      <c r="N11" s="267"/>
      <c r="O11" s="267"/>
      <c r="P11" s="219"/>
      <c r="Q11" s="268"/>
      <c r="R11" s="216" t="str">
        <f ca="1">IF(ISERROR($V11),"",OFFSET('Smelter Look-up'!$C$4,$V11-4,0)&amp;"")</f>
        <v/>
      </c>
      <c r="S11" s="224" t="str">
        <f t="shared" ca="1" si="0"/>
        <v/>
      </c>
      <c r="T11" s="224" t="str">
        <f ca="1">IF(B11="","",IF(ISERROR(MATCH($J11,SorP!$B$1:$B$6230,0)),"",INDIRECT("'SorP'!$A$"&amp;MATCH($J11,SorP!$B$1:$B$6230,0))))</f>
        <v/>
      </c>
      <c r="U11" s="239"/>
      <c r="V11" s="269" t="e">
        <f>IF(C11="",NA(),MATCH($B11&amp;$C11,'Smelter Look-up'!$J:$J,0))</f>
        <v>#N/A</v>
      </c>
      <c r="W11" s="270"/>
      <c r="X11" s="270">
        <f t="shared" ca="1" si="1"/>
        <v>0</v>
      </c>
      <c r="Y11" s="270"/>
      <c r="Z11" s="270"/>
      <c r="AB11" s="272" t="str">
        <f t="shared" si="2"/>
        <v/>
      </c>
    </row>
    <row r="12" spans="1:34" s="271" customFormat="1" ht="20.25">
      <c r="A12" s="215"/>
      <c r="B12" s="216" t="str">
        <f>IF(LEN(A12)=0,"",INDEX('Smelter Look-up'!$A:$A,MATCH($A12,'Smelter Look-up'!$E:$E,0)))</f>
        <v/>
      </c>
      <c r="C12" s="220" t="str">
        <f>IF(LEN(A12)=0,"",INDEX('Smelter Look-up'!$C:$C,MATCH($A12,'Smelter Look-up'!$E:$E,0)))</f>
        <v/>
      </c>
      <c r="D12" s="216"/>
      <c r="E12" s="216" t="str">
        <f ca="1">IF(ISERROR($V12),"",OFFSET('Smelter Look-up'!$D$4,$V12-4,0)&amp;"")</f>
        <v/>
      </c>
      <c r="F12" s="216" t="str">
        <f ca="1">IF(ISERROR($V12),"",OFFSET('Smelter Look-up'!$E$4,$V12-4,0))</f>
        <v/>
      </c>
      <c r="G12" s="216" t="str">
        <f ca="1">IF(C12=$X$4,"Enter smelter details", IF(ISERROR($V12),"",OFFSET('Smelter Look-up'!$F$4,$V12-4,0)))</f>
        <v/>
      </c>
      <c r="H12" s="217" t="str">
        <f ca="1">IF(ISERROR($V12),"",OFFSET('Smelter Look-up'!$G$4,$V12-4,0))</f>
        <v/>
      </c>
      <c r="I12" s="218" t="str">
        <f ca="1">IF(ISERROR($V12),"",OFFSET('Smelter Look-up'!$H$4,$V12-4,0))</f>
        <v/>
      </c>
      <c r="J12" s="218" t="str">
        <f ca="1">IF(ISERROR($V12),"",OFFSET('Smelter Look-up'!$I$4,$V12-4,0))</f>
        <v/>
      </c>
      <c r="K12" s="267"/>
      <c r="L12" s="267"/>
      <c r="M12" s="267"/>
      <c r="N12" s="267"/>
      <c r="O12" s="267"/>
      <c r="P12" s="219"/>
      <c r="Q12" s="268"/>
      <c r="R12" s="216" t="str">
        <f ca="1">IF(ISERROR($V12),"",OFFSET('Smelter Look-up'!$C$4,$V12-4,0)&amp;"")</f>
        <v/>
      </c>
      <c r="S12" s="224" t="str">
        <f t="shared" ca="1" si="0"/>
        <v/>
      </c>
      <c r="T12" s="224" t="str">
        <f ca="1">IF(B12="","",IF(ISERROR(MATCH($J12,SorP!$B$1:$B$6230,0)),"",INDIRECT("'SorP'!$A$"&amp;MATCH($J12,SorP!$B$1:$B$6230,0))))</f>
        <v/>
      </c>
      <c r="U12" s="239"/>
      <c r="V12" s="269" t="e">
        <f>IF(C12="",NA(),MATCH($B12&amp;$C12,'Smelter Look-up'!$J:$J,0))</f>
        <v>#N/A</v>
      </c>
      <c r="W12" s="270"/>
      <c r="X12" s="270">
        <f t="shared" ca="1" si="1"/>
        <v>0</v>
      </c>
      <c r="Y12" s="270"/>
      <c r="Z12" s="270"/>
      <c r="AB12" s="272" t="str">
        <f t="shared" si="2"/>
        <v/>
      </c>
    </row>
    <row r="13" spans="1:34" s="271" customFormat="1" ht="20.25">
      <c r="A13" s="215"/>
      <c r="B13" s="216" t="str">
        <f>IF(LEN(A13)=0,"",INDEX('Smelter Look-up'!$A:$A,MATCH($A13,'Smelter Look-up'!$E:$E,0)))</f>
        <v/>
      </c>
      <c r="C13" s="220" t="str">
        <f>IF(LEN(A13)=0,"",INDEX('Smelter Look-up'!$C:$C,MATCH($A13,'Smelter Look-up'!$E:$E,0)))</f>
        <v/>
      </c>
      <c r="D13" s="216"/>
      <c r="E13" s="216" t="str">
        <f ca="1">IF(ISERROR($V13),"",OFFSET('Smelter Look-up'!$D$4,$V13-4,0)&amp;"")</f>
        <v/>
      </c>
      <c r="F13" s="216" t="str">
        <f ca="1">IF(ISERROR($V13),"",OFFSET('Smelter Look-up'!$E$4,$V13-4,0))</f>
        <v/>
      </c>
      <c r="G13" s="216" t="str">
        <f ca="1">IF(C13=$X$4,"Enter smelter details", IF(ISERROR($V13),"",OFFSET('Smelter Look-up'!$F$4,$V13-4,0)))</f>
        <v/>
      </c>
      <c r="H13" s="217" t="str">
        <f ca="1">IF(ISERROR($V13),"",OFFSET('Smelter Look-up'!$G$4,$V13-4,0))</f>
        <v/>
      </c>
      <c r="I13" s="218" t="str">
        <f ca="1">IF(ISERROR($V13),"",OFFSET('Smelter Look-up'!$H$4,$V13-4,0))</f>
        <v/>
      </c>
      <c r="J13" s="218" t="str">
        <f ca="1">IF(ISERROR($V13),"",OFFSET('Smelter Look-up'!$I$4,$V13-4,0))</f>
        <v/>
      </c>
      <c r="K13" s="267"/>
      <c r="L13" s="267"/>
      <c r="M13" s="267"/>
      <c r="N13" s="267"/>
      <c r="O13" s="267"/>
      <c r="P13" s="219"/>
      <c r="Q13" s="268"/>
      <c r="R13" s="216" t="str">
        <f ca="1">IF(ISERROR($V13),"",OFFSET('Smelter Look-up'!$C$4,$V13-4,0)&amp;"")</f>
        <v/>
      </c>
      <c r="S13" s="224" t="str">
        <f t="shared" ca="1" si="0"/>
        <v/>
      </c>
      <c r="T13" s="224" t="str">
        <f ca="1">IF(B13="","",IF(ISERROR(MATCH($J13,SorP!$B$1:$B$6230,0)),"",INDIRECT("'SorP'!$A$"&amp;MATCH($J13,SorP!$B$1:$B$6230,0))))</f>
        <v/>
      </c>
      <c r="U13" s="239"/>
      <c r="V13" s="269" t="e">
        <f>IF(C13="",NA(),MATCH($B13&amp;$C13,'Smelter Look-up'!$J:$J,0))</f>
        <v>#N/A</v>
      </c>
      <c r="W13" s="270"/>
      <c r="X13" s="270">
        <f t="shared" ca="1" si="1"/>
        <v>0</v>
      </c>
      <c r="Y13" s="270"/>
      <c r="Z13" s="270"/>
      <c r="AB13" s="272" t="str">
        <f t="shared" si="2"/>
        <v/>
      </c>
    </row>
    <row r="14" spans="1:34" s="271" customFormat="1" ht="20.25">
      <c r="A14" s="215"/>
      <c r="B14" s="216" t="str">
        <f>IF(LEN(A14)=0,"",INDEX('Smelter Look-up'!$A:$A,MATCH($A14,'Smelter Look-up'!$E:$E,0)))</f>
        <v/>
      </c>
      <c r="C14" s="220" t="str">
        <f>IF(LEN(A14)=0,"",INDEX('Smelter Look-up'!$C:$C,MATCH($A14,'Smelter Look-up'!$E:$E,0)))</f>
        <v/>
      </c>
      <c r="D14" s="216"/>
      <c r="E14" s="216" t="str">
        <f ca="1">IF(ISERROR($V14),"",OFFSET('Smelter Look-up'!$D$4,$V14-4,0)&amp;"")</f>
        <v/>
      </c>
      <c r="F14" s="216" t="str">
        <f ca="1">IF(ISERROR($V14),"",OFFSET('Smelter Look-up'!$E$4,$V14-4,0))</f>
        <v/>
      </c>
      <c r="G14" s="216" t="str">
        <f ca="1">IF(C14=$X$4,"Enter smelter details", IF(ISERROR($V14),"",OFFSET('Smelter Look-up'!$F$4,$V14-4,0)))</f>
        <v/>
      </c>
      <c r="H14" s="217" t="str">
        <f ca="1">IF(ISERROR($V14),"",OFFSET('Smelter Look-up'!$G$4,$V14-4,0))</f>
        <v/>
      </c>
      <c r="I14" s="218" t="str">
        <f ca="1">IF(ISERROR($V14),"",OFFSET('Smelter Look-up'!$H$4,$V14-4,0))</f>
        <v/>
      </c>
      <c r="J14" s="218" t="str">
        <f ca="1">IF(ISERROR($V14),"",OFFSET('Smelter Look-up'!$I$4,$V14-4,0))</f>
        <v/>
      </c>
      <c r="K14" s="267"/>
      <c r="L14" s="267"/>
      <c r="M14" s="267"/>
      <c r="N14" s="267"/>
      <c r="O14" s="267"/>
      <c r="P14" s="219"/>
      <c r="Q14" s="268"/>
      <c r="R14" s="216" t="str">
        <f ca="1">IF(ISERROR($V14),"",OFFSET('Smelter Look-up'!$C$4,$V14-4,0)&amp;"")</f>
        <v/>
      </c>
      <c r="S14" s="224" t="str">
        <f t="shared" ca="1" si="0"/>
        <v/>
      </c>
      <c r="T14" s="224" t="str">
        <f ca="1">IF(B14="","",IF(ISERROR(MATCH($J14,SorP!$B$1:$B$6230,0)),"",INDIRECT("'SorP'!$A$"&amp;MATCH($J14,SorP!$B$1:$B$6230,0))))</f>
        <v/>
      </c>
      <c r="U14" s="239"/>
      <c r="V14" s="269" t="e">
        <f>IF(C14="",NA(),MATCH($B14&amp;$C14,'Smelter Look-up'!$J:$J,0))</f>
        <v>#N/A</v>
      </c>
      <c r="W14" s="270"/>
      <c r="X14" s="270">
        <f t="shared" ca="1" si="1"/>
        <v>0</v>
      </c>
      <c r="Y14" s="270"/>
      <c r="Z14" s="270"/>
      <c r="AB14" s="272" t="str">
        <f t="shared" si="2"/>
        <v/>
      </c>
    </row>
    <row r="15" spans="1:34" s="271" customFormat="1" ht="20.25">
      <c r="A15" s="215"/>
      <c r="B15" s="216" t="str">
        <f>IF(LEN(A15)=0,"",INDEX('Smelter Look-up'!$A:$A,MATCH($A15,'Smelter Look-up'!$E:$E,0)))</f>
        <v/>
      </c>
      <c r="C15" s="220" t="str">
        <f>IF(LEN(A15)=0,"",INDEX('Smelter Look-up'!$C:$C,MATCH($A15,'Smelter Look-up'!$E:$E,0)))</f>
        <v/>
      </c>
      <c r="D15" s="216"/>
      <c r="E15" s="216" t="str">
        <f ca="1">IF(ISERROR($V15),"",OFFSET('Smelter Look-up'!$D$4,$V15-4,0)&amp;"")</f>
        <v/>
      </c>
      <c r="F15" s="216" t="str">
        <f ca="1">IF(ISERROR($V15),"",OFFSET('Smelter Look-up'!$E$4,$V15-4,0))</f>
        <v/>
      </c>
      <c r="G15" s="216" t="str">
        <f ca="1">IF(C15=$X$4,"Enter smelter details", IF(ISERROR($V15),"",OFFSET('Smelter Look-up'!$F$4,$V15-4,0)))</f>
        <v/>
      </c>
      <c r="H15" s="217" t="str">
        <f ca="1">IF(ISERROR($V15),"",OFFSET('Smelter Look-up'!$G$4,$V15-4,0))</f>
        <v/>
      </c>
      <c r="I15" s="218" t="str">
        <f ca="1">IF(ISERROR($V15),"",OFFSET('Smelter Look-up'!$H$4,$V15-4,0))</f>
        <v/>
      </c>
      <c r="J15" s="218" t="str">
        <f ca="1">IF(ISERROR($V15),"",OFFSET('Smelter Look-up'!$I$4,$V15-4,0))</f>
        <v/>
      </c>
      <c r="K15" s="267"/>
      <c r="L15" s="267"/>
      <c r="M15" s="267"/>
      <c r="N15" s="267"/>
      <c r="O15" s="267"/>
      <c r="P15" s="219"/>
      <c r="Q15" s="268"/>
      <c r="R15" s="216" t="str">
        <f ca="1">IF(ISERROR($V15),"",OFFSET('Smelter Look-up'!$C$4,$V15-4,0)&amp;"")</f>
        <v/>
      </c>
      <c r="S15" s="224" t="str">
        <f t="shared" ca="1" si="0"/>
        <v/>
      </c>
      <c r="T15" s="224" t="str">
        <f ca="1">IF(B15="","",IF(ISERROR(MATCH($J15,SorP!$B$1:$B$6230,0)),"",INDIRECT("'SorP'!$A$"&amp;MATCH($J15,SorP!$B$1:$B$6230,0))))</f>
        <v/>
      </c>
      <c r="U15" s="239"/>
      <c r="V15" s="269" t="e">
        <f>IF(C15="",NA(),MATCH($B15&amp;$C15,'Smelter Look-up'!$J:$J,0))</f>
        <v>#N/A</v>
      </c>
      <c r="W15" s="270"/>
      <c r="X15" s="270">
        <f t="shared" ca="1" si="1"/>
        <v>0</v>
      </c>
      <c r="Y15" s="270"/>
      <c r="Z15" s="270"/>
      <c r="AB15" s="272" t="str">
        <f t="shared" si="2"/>
        <v/>
      </c>
    </row>
    <row r="16" spans="1:34" s="271" customFormat="1" ht="20.25">
      <c r="A16" s="215"/>
      <c r="B16" s="216" t="str">
        <f>IF(LEN(A16)=0,"",INDEX('Smelter Look-up'!$A:$A,MATCH($A16,'Smelter Look-up'!$E:$E,0)))</f>
        <v/>
      </c>
      <c r="C16" s="220" t="str">
        <f>IF(LEN(A16)=0,"",INDEX('Smelter Look-up'!$C:$C,MATCH($A16,'Smelter Look-up'!$E:$E,0)))</f>
        <v/>
      </c>
      <c r="D16" s="216"/>
      <c r="E16" s="216" t="str">
        <f ca="1">IF(ISERROR($V16),"",OFFSET('Smelter Look-up'!$D$4,$V16-4,0)&amp;"")</f>
        <v/>
      </c>
      <c r="F16" s="216" t="str">
        <f ca="1">IF(ISERROR($V16),"",OFFSET('Smelter Look-up'!$E$4,$V16-4,0))</f>
        <v/>
      </c>
      <c r="G16" s="216" t="str">
        <f ca="1">IF(C16=$X$4,"Enter smelter details", IF(ISERROR($V16),"",OFFSET('Smelter Look-up'!$F$4,$V16-4,0)))</f>
        <v/>
      </c>
      <c r="H16" s="217" t="str">
        <f ca="1">IF(ISERROR($V16),"",OFFSET('Smelter Look-up'!$G$4,$V16-4,0))</f>
        <v/>
      </c>
      <c r="I16" s="218" t="str">
        <f ca="1">IF(ISERROR($V16),"",OFFSET('Smelter Look-up'!$H$4,$V16-4,0))</f>
        <v/>
      </c>
      <c r="J16" s="218" t="str">
        <f ca="1">IF(ISERROR($V16),"",OFFSET('Smelter Look-up'!$I$4,$V16-4,0))</f>
        <v/>
      </c>
      <c r="K16" s="267"/>
      <c r="L16" s="267"/>
      <c r="M16" s="267"/>
      <c r="N16" s="267"/>
      <c r="O16" s="267"/>
      <c r="P16" s="219"/>
      <c r="Q16" s="268"/>
      <c r="R16" s="216" t="str">
        <f ca="1">IF(ISERROR($V16),"",OFFSET('Smelter Look-up'!$C$4,$V16-4,0)&amp;"")</f>
        <v/>
      </c>
      <c r="S16" s="224" t="str">
        <f t="shared" ca="1" si="0"/>
        <v/>
      </c>
      <c r="T16" s="224" t="str">
        <f ca="1">IF(B16="","",IF(ISERROR(MATCH($J16,SorP!$B$1:$B$6230,0)),"",INDIRECT("'SorP'!$A$"&amp;MATCH($J16,SorP!$B$1:$B$6230,0))))</f>
        <v/>
      </c>
      <c r="U16" s="239"/>
      <c r="V16" s="269" t="e">
        <f>IF(C16="",NA(),MATCH($B16&amp;$C16,'Smelter Look-up'!$J:$J,0))</f>
        <v>#N/A</v>
      </c>
      <c r="W16" s="270"/>
      <c r="X16" s="270">
        <f t="shared" ca="1" si="1"/>
        <v>0</v>
      </c>
      <c r="Y16" s="270"/>
      <c r="Z16" s="270"/>
      <c r="AB16" s="272" t="str">
        <f t="shared" si="2"/>
        <v/>
      </c>
    </row>
    <row r="17" spans="1:28" s="271" customFormat="1" ht="20.25">
      <c r="A17" s="215"/>
      <c r="B17" s="216" t="str">
        <f>IF(LEN(A17)=0,"",INDEX('Smelter Look-up'!$A:$A,MATCH($A17,'Smelter Look-up'!$E:$E,0)))</f>
        <v/>
      </c>
      <c r="C17" s="220" t="str">
        <f>IF(LEN(A17)=0,"",INDEX('Smelter Look-up'!$C:$C,MATCH($A17,'Smelter Look-up'!$E:$E,0)))</f>
        <v/>
      </c>
      <c r="D17" s="216"/>
      <c r="E17" s="216" t="str">
        <f ca="1">IF(ISERROR($V17),"",OFFSET('Smelter Look-up'!$D$4,$V17-4,0)&amp;"")</f>
        <v/>
      </c>
      <c r="F17" s="216" t="str">
        <f ca="1">IF(ISERROR($V17),"",OFFSET('Smelter Look-up'!$E$4,$V17-4,0))</f>
        <v/>
      </c>
      <c r="G17" s="216" t="str">
        <f ca="1">IF(C17=$X$4,"Enter smelter details", IF(ISERROR($V17),"",OFFSET('Smelter Look-up'!$F$4,$V17-4,0)))</f>
        <v/>
      </c>
      <c r="H17" s="217" t="str">
        <f ca="1">IF(ISERROR($V17),"",OFFSET('Smelter Look-up'!$G$4,$V17-4,0))</f>
        <v/>
      </c>
      <c r="I17" s="218" t="str">
        <f ca="1">IF(ISERROR($V17),"",OFFSET('Smelter Look-up'!$H$4,$V17-4,0))</f>
        <v/>
      </c>
      <c r="J17" s="218" t="str">
        <f ca="1">IF(ISERROR($V17),"",OFFSET('Smelter Look-up'!$I$4,$V17-4,0))</f>
        <v/>
      </c>
      <c r="K17" s="267"/>
      <c r="L17" s="267"/>
      <c r="M17" s="267"/>
      <c r="N17" s="267"/>
      <c r="O17" s="267"/>
      <c r="P17" s="219"/>
      <c r="Q17" s="268"/>
      <c r="R17" s="216" t="str">
        <f ca="1">IF(ISERROR($V17),"",OFFSET('Smelter Look-up'!$C$4,$V17-4,0)&amp;"")</f>
        <v/>
      </c>
      <c r="S17" s="224" t="str">
        <f t="shared" ca="1" si="0"/>
        <v/>
      </c>
      <c r="T17" s="224" t="str">
        <f ca="1">IF(B17="","",IF(ISERROR(MATCH($J17,SorP!$B$1:$B$6230,0)),"",INDIRECT("'SorP'!$A$"&amp;MATCH($J17,SorP!$B$1:$B$6230,0))))</f>
        <v/>
      </c>
      <c r="U17" s="239"/>
      <c r="V17" s="269" t="e">
        <f>IF(C17="",NA(),MATCH($B17&amp;$C17,'Smelter Look-up'!$J:$J,0))</f>
        <v>#N/A</v>
      </c>
      <c r="W17" s="270"/>
      <c r="X17" s="270">
        <f t="shared" ca="1" si="1"/>
        <v>0</v>
      </c>
      <c r="Y17" s="270"/>
      <c r="Z17" s="270"/>
      <c r="AB17" s="272" t="str">
        <f t="shared" si="2"/>
        <v/>
      </c>
    </row>
    <row r="18" spans="1:28" s="271" customFormat="1" ht="20.25">
      <c r="A18" s="215"/>
      <c r="B18" s="216" t="str">
        <f>IF(LEN(A18)=0,"",INDEX('Smelter Look-up'!$A:$A,MATCH($A18,'Smelter Look-up'!$E:$E,0)))</f>
        <v/>
      </c>
      <c r="C18" s="220" t="str">
        <f>IF(LEN(A18)=0,"",INDEX('Smelter Look-up'!$C:$C,MATCH($A18,'Smelter Look-up'!$E:$E,0)))</f>
        <v/>
      </c>
      <c r="D18" s="216"/>
      <c r="E18" s="216" t="str">
        <f ca="1">IF(ISERROR($V18),"",OFFSET('Smelter Look-up'!$D$4,$V18-4,0)&amp;"")</f>
        <v/>
      </c>
      <c r="F18" s="216" t="str">
        <f ca="1">IF(ISERROR($V18),"",OFFSET('Smelter Look-up'!$E$4,$V18-4,0))</f>
        <v/>
      </c>
      <c r="G18" s="216" t="str">
        <f ca="1">IF(C18=$X$4,"Enter smelter details", IF(ISERROR($V18),"",OFFSET('Smelter Look-up'!$F$4,$V18-4,0)))</f>
        <v/>
      </c>
      <c r="H18" s="217" t="str">
        <f ca="1">IF(ISERROR($V18),"",OFFSET('Smelter Look-up'!$G$4,$V18-4,0))</f>
        <v/>
      </c>
      <c r="I18" s="218" t="str">
        <f ca="1">IF(ISERROR($V18),"",OFFSET('Smelter Look-up'!$H$4,$V18-4,0))</f>
        <v/>
      </c>
      <c r="J18" s="218" t="str">
        <f ca="1">IF(ISERROR($V18),"",OFFSET('Smelter Look-up'!$I$4,$V18-4,0))</f>
        <v/>
      </c>
      <c r="K18" s="267"/>
      <c r="L18" s="267"/>
      <c r="M18" s="267"/>
      <c r="N18" s="267"/>
      <c r="O18" s="267"/>
      <c r="P18" s="219"/>
      <c r="Q18" s="268"/>
      <c r="R18" s="216" t="str">
        <f ca="1">IF(ISERROR($V18),"",OFFSET('Smelter Look-up'!$C$4,$V18-4,0)&amp;"")</f>
        <v/>
      </c>
      <c r="S18" s="224" t="str">
        <f t="shared" ca="1" si="0"/>
        <v/>
      </c>
      <c r="T18" s="224" t="str">
        <f ca="1">IF(B18="","",IF(ISERROR(MATCH($J18,SorP!$B$1:$B$6230,0)),"",INDIRECT("'SorP'!$A$"&amp;MATCH($J18,SorP!$B$1:$B$6230,0))))</f>
        <v/>
      </c>
      <c r="U18" s="239"/>
      <c r="V18" s="269" t="e">
        <f>IF(C18="",NA(),MATCH($B18&amp;$C18,'Smelter Look-up'!$J:$J,0))</f>
        <v>#N/A</v>
      </c>
      <c r="W18" s="270"/>
      <c r="X18" s="270">
        <f t="shared" ca="1" si="1"/>
        <v>0</v>
      </c>
      <c r="Y18" s="270"/>
      <c r="Z18" s="270"/>
      <c r="AB18" s="272" t="str">
        <f t="shared" si="2"/>
        <v/>
      </c>
    </row>
    <row r="19" spans="1:28" s="271" customFormat="1" ht="20.25">
      <c r="A19" s="215"/>
      <c r="B19" s="216" t="str">
        <f>IF(LEN(A19)=0,"",INDEX('Smelter Look-up'!$A:$A,MATCH($A19,'Smelter Look-up'!$E:$E,0)))</f>
        <v/>
      </c>
      <c r="C19" s="220" t="str">
        <f>IF(LEN(A19)=0,"",INDEX('Smelter Look-up'!$C:$C,MATCH($A19,'Smelter Look-up'!$E:$E,0)))</f>
        <v/>
      </c>
      <c r="D19" s="216"/>
      <c r="E19" s="216" t="str">
        <f ca="1">IF(ISERROR($V19),"",OFFSET('Smelter Look-up'!$D$4,$V19-4,0)&amp;"")</f>
        <v/>
      </c>
      <c r="F19" s="216" t="str">
        <f ca="1">IF(ISERROR($V19),"",OFFSET('Smelter Look-up'!$E$4,$V19-4,0))</f>
        <v/>
      </c>
      <c r="G19" s="216" t="str">
        <f ca="1">IF(C19=$X$4,"Enter smelter details", IF(ISERROR($V19),"",OFFSET('Smelter Look-up'!$F$4,$V19-4,0)))</f>
        <v/>
      </c>
      <c r="H19" s="217" t="str">
        <f ca="1">IF(ISERROR($V19),"",OFFSET('Smelter Look-up'!$G$4,$V19-4,0))</f>
        <v/>
      </c>
      <c r="I19" s="218" t="str">
        <f ca="1">IF(ISERROR($V19),"",OFFSET('Smelter Look-up'!$H$4,$V19-4,0))</f>
        <v/>
      </c>
      <c r="J19" s="218" t="str">
        <f ca="1">IF(ISERROR($V19),"",OFFSET('Smelter Look-up'!$I$4,$V19-4,0))</f>
        <v/>
      </c>
      <c r="K19" s="267"/>
      <c r="L19" s="267"/>
      <c r="M19" s="267"/>
      <c r="N19" s="267"/>
      <c r="O19" s="267"/>
      <c r="P19" s="219"/>
      <c r="Q19" s="268"/>
      <c r="R19" s="216" t="str">
        <f ca="1">IF(ISERROR($V19),"",OFFSET('Smelter Look-up'!$C$4,$V19-4,0)&amp;"")</f>
        <v/>
      </c>
      <c r="S19" s="224" t="str">
        <f t="shared" ca="1" si="0"/>
        <v/>
      </c>
      <c r="T19" s="224" t="str">
        <f ca="1">IF(B19="","",IF(ISERROR(MATCH($J19,SorP!$B$1:$B$6230,0)),"",INDIRECT("'SorP'!$A$"&amp;MATCH($J19,SorP!$B$1:$B$6230,0))))</f>
        <v/>
      </c>
      <c r="U19" s="239"/>
      <c r="V19" s="269" t="e">
        <f>IF(C19="",NA(),MATCH($B19&amp;$C19,'Smelter Look-up'!$J:$J,0))</f>
        <v>#N/A</v>
      </c>
      <c r="W19" s="270"/>
      <c r="X19" s="270">
        <f t="shared" ca="1" si="1"/>
        <v>0</v>
      </c>
      <c r="Y19" s="270"/>
      <c r="Z19" s="270"/>
      <c r="AB19" s="272" t="str">
        <f t="shared" si="2"/>
        <v/>
      </c>
    </row>
    <row r="20" spans="1:28" s="271" customFormat="1" ht="20.25">
      <c r="A20" s="215"/>
      <c r="B20" s="216" t="str">
        <f>IF(LEN(A20)=0,"",INDEX('Smelter Look-up'!$A:$A,MATCH($A20,'Smelter Look-up'!$E:$E,0)))</f>
        <v/>
      </c>
      <c r="C20" s="220" t="str">
        <f>IF(LEN(A20)=0,"",INDEX('Smelter Look-up'!$C:$C,MATCH($A20,'Smelter Look-up'!$E:$E,0)))</f>
        <v/>
      </c>
      <c r="D20" s="216"/>
      <c r="E20" s="216" t="str">
        <f ca="1">IF(ISERROR($V20),"",OFFSET('Smelter Look-up'!$D$4,$V20-4,0)&amp;"")</f>
        <v/>
      </c>
      <c r="F20" s="216" t="str">
        <f ca="1">IF(ISERROR($V20),"",OFFSET('Smelter Look-up'!$E$4,$V20-4,0))</f>
        <v/>
      </c>
      <c r="G20" s="216" t="str">
        <f ca="1">IF(C20=$X$4,"Enter smelter details", IF(ISERROR($V20),"",OFFSET('Smelter Look-up'!$F$4,$V20-4,0)))</f>
        <v/>
      </c>
      <c r="H20" s="217" t="str">
        <f ca="1">IF(ISERROR($V20),"",OFFSET('Smelter Look-up'!$G$4,$V20-4,0))</f>
        <v/>
      </c>
      <c r="I20" s="218" t="str">
        <f ca="1">IF(ISERROR($V20),"",OFFSET('Smelter Look-up'!$H$4,$V20-4,0))</f>
        <v/>
      </c>
      <c r="J20" s="218" t="str">
        <f ca="1">IF(ISERROR($V20),"",OFFSET('Smelter Look-up'!$I$4,$V20-4,0))</f>
        <v/>
      </c>
      <c r="K20" s="267"/>
      <c r="L20" s="267"/>
      <c r="M20" s="267"/>
      <c r="N20" s="267"/>
      <c r="O20" s="267"/>
      <c r="P20" s="219"/>
      <c r="Q20" s="268"/>
      <c r="R20" s="216" t="str">
        <f ca="1">IF(ISERROR($V20),"",OFFSET('Smelter Look-up'!$C$4,$V20-4,0)&amp;"")</f>
        <v/>
      </c>
      <c r="S20" s="224" t="str">
        <f t="shared" ca="1" si="0"/>
        <v/>
      </c>
      <c r="T20" s="224" t="str">
        <f ca="1">IF(B20="","",IF(ISERROR(MATCH($J20,SorP!$B$1:$B$6230,0)),"",INDIRECT("'SorP'!$A$"&amp;MATCH($J20,SorP!$B$1:$B$6230,0))))</f>
        <v/>
      </c>
      <c r="U20" s="239"/>
      <c r="V20" s="269" t="e">
        <f>IF(C20="",NA(),MATCH($B20&amp;$C20,'Smelter Look-up'!$J:$J,0))</f>
        <v>#N/A</v>
      </c>
      <c r="W20" s="270"/>
      <c r="X20" s="270">
        <f t="shared" ca="1" si="1"/>
        <v>0</v>
      </c>
      <c r="Y20" s="270"/>
      <c r="Z20" s="270"/>
      <c r="AB20" s="272" t="str">
        <f t="shared" si="2"/>
        <v/>
      </c>
    </row>
    <row r="21" spans="1:28" s="271" customFormat="1" ht="20.25">
      <c r="A21" s="215"/>
      <c r="B21" s="216" t="str">
        <f>IF(LEN(A21)=0,"",INDEX('Smelter Look-up'!$A:$A,MATCH($A21,'Smelter Look-up'!$E:$E,0)))</f>
        <v/>
      </c>
      <c r="C21" s="220" t="str">
        <f>IF(LEN(A21)=0,"",INDEX('Smelter Look-up'!$C:$C,MATCH($A21,'Smelter Look-up'!$E:$E,0)))</f>
        <v/>
      </c>
      <c r="D21" s="216"/>
      <c r="E21" s="216" t="str">
        <f ca="1">IF(ISERROR($V21),"",OFFSET('Smelter Look-up'!$D$4,$V21-4,0)&amp;"")</f>
        <v/>
      </c>
      <c r="F21" s="216" t="str">
        <f ca="1">IF(ISERROR($V21),"",OFFSET('Smelter Look-up'!$E$4,$V21-4,0))</f>
        <v/>
      </c>
      <c r="G21" s="216" t="str">
        <f ca="1">IF(C21=$X$4,"Enter smelter details", IF(ISERROR($V21),"",OFFSET('Smelter Look-up'!$F$4,$V21-4,0)))</f>
        <v/>
      </c>
      <c r="H21" s="217" t="str">
        <f ca="1">IF(ISERROR($V21),"",OFFSET('Smelter Look-up'!$G$4,$V21-4,0))</f>
        <v/>
      </c>
      <c r="I21" s="218" t="str">
        <f ca="1">IF(ISERROR($V21),"",OFFSET('Smelter Look-up'!$H$4,$V21-4,0))</f>
        <v/>
      </c>
      <c r="J21" s="218" t="str">
        <f ca="1">IF(ISERROR($V21),"",OFFSET('Smelter Look-up'!$I$4,$V21-4,0))</f>
        <v/>
      </c>
      <c r="K21" s="267"/>
      <c r="L21" s="267"/>
      <c r="M21" s="267"/>
      <c r="N21" s="267"/>
      <c r="O21" s="267"/>
      <c r="P21" s="219"/>
      <c r="Q21" s="268"/>
      <c r="R21" s="216" t="str">
        <f ca="1">IF(ISERROR($V21),"",OFFSET('Smelter Look-up'!$C$4,$V21-4,0)&amp;"")</f>
        <v/>
      </c>
      <c r="S21" s="224" t="str">
        <f t="shared" ca="1" si="0"/>
        <v/>
      </c>
      <c r="T21" s="224" t="str">
        <f ca="1">IF(B21="","",IF(ISERROR(MATCH($J21,SorP!$B$1:$B$6230,0)),"",INDIRECT("'SorP'!$A$"&amp;MATCH($J21,SorP!$B$1:$B$6230,0))))</f>
        <v/>
      </c>
      <c r="U21" s="239"/>
      <c r="V21" s="269" t="e">
        <f>IF(C21="",NA(),MATCH($B21&amp;$C21,'Smelter Look-up'!$J:$J,0))</f>
        <v>#N/A</v>
      </c>
      <c r="W21" s="270"/>
      <c r="X21" s="270">
        <f t="shared" ca="1" si="1"/>
        <v>0</v>
      </c>
      <c r="Y21" s="270"/>
      <c r="Z21" s="270"/>
      <c r="AB21" s="272" t="str">
        <f t="shared" si="2"/>
        <v/>
      </c>
    </row>
    <row r="22" spans="1:28" s="271" customFormat="1" ht="20.25">
      <c r="A22" s="215"/>
      <c r="B22" s="216" t="str">
        <f>IF(LEN(A22)=0,"",INDEX('Smelter Look-up'!$A:$A,MATCH($A22,'Smelter Look-up'!$E:$E,0)))</f>
        <v/>
      </c>
      <c r="C22" s="220" t="str">
        <f>IF(LEN(A22)=0,"",INDEX('Smelter Look-up'!$C:$C,MATCH($A22,'Smelter Look-up'!$E:$E,0)))</f>
        <v/>
      </c>
      <c r="D22" s="216"/>
      <c r="E22" s="216" t="str">
        <f ca="1">IF(ISERROR($V22),"",OFFSET('Smelter Look-up'!$D$4,$V22-4,0)&amp;"")</f>
        <v/>
      </c>
      <c r="F22" s="216" t="str">
        <f ca="1">IF(ISERROR($V22),"",OFFSET('Smelter Look-up'!$E$4,$V22-4,0))</f>
        <v/>
      </c>
      <c r="G22" s="216" t="str">
        <f ca="1">IF(C22=$X$4,"Enter smelter details", IF(ISERROR($V22),"",OFFSET('Smelter Look-up'!$F$4,$V22-4,0)))</f>
        <v/>
      </c>
      <c r="H22" s="217" t="str">
        <f ca="1">IF(ISERROR($V22),"",OFFSET('Smelter Look-up'!$G$4,$V22-4,0))</f>
        <v/>
      </c>
      <c r="I22" s="218" t="str">
        <f ca="1">IF(ISERROR($V22),"",OFFSET('Smelter Look-up'!$H$4,$V22-4,0))</f>
        <v/>
      </c>
      <c r="J22" s="218" t="str">
        <f ca="1">IF(ISERROR($V22),"",OFFSET('Smelter Look-up'!$I$4,$V22-4,0))</f>
        <v/>
      </c>
      <c r="K22" s="267"/>
      <c r="L22" s="267"/>
      <c r="M22" s="267"/>
      <c r="N22" s="267"/>
      <c r="O22" s="267"/>
      <c r="P22" s="219"/>
      <c r="Q22" s="268"/>
      <c r="R22" s="216" t="str">
        <f ca="1">IF(ISERROR($V22),"",OFFSET('Smelter Look-up'!$C$4,$V22-4,0)&amp;"")</f>
        <v/>
      </c>
      <c r="S22" s="224" t="str">
        <f t="shared" ca="1" si="0"/>
        <v/>
      </c>
      <c r="T22" s="224" t="str">
        <f ca="1">IF(B22="","",IF(ISERROR(MATCH($J22,SorP!$B$1:$B$6230,0)),"",INDIRECT("'SorP'!$A$"&amp;MATCH($J22,SorP!$B$1:$B$6230,0))))</f>
        <v/>
      </c>
      <c r="U22" s="239"/>
      <c r="V22" s="269" t="e">
        <f>IF(C22="",NA(),MATCH($B22&amp;$C22,'Smelter Look-up'!$J:$J,0))</f>
        <v>#N/A</v>
      </c>
      <c r="W22" s="270"/>
      <c r="X22" s="270">
        <f t="shared" ca="1" si="1"/>
        <v>0</v>
      </c>
      <c r="Y22" s="270"/>
      <c r="Z22" s="270"/>
      <c r="AB22" s="272" t="str">
        <f t="shared" si="2"/>
        <v/>
      </c>
    </row>
    <row r="23" spans="1:28" s="271" customFormat="1" ht="20.25">
      <c r="A23" s="215"/>
      <c r="B23" s="216" t="str">
        <f>IF(LEN(A23)=0,"",INDEX('Smelter Look-up'!$A:$A,MATCH($A23,'Smelter Look-up'!$E:$E,0)))</f>
        <v/>
      </c>
      <c r="C23" s="220" t="str">
        <f>IF(LEN(A23)=0,"",INDEX('Smelter Look-up'!$C:$C,MATCH($A23,'Smelter Look-up'!$E:$E,0)))</f>
        <v/>
      </c>
      <c r="D23" s="216"/>
      <c r="E23" s="216" t="str">
        <f ca="1">IF(ISERROR($V23),"",OFFSET('Smelter Look-up'!$D$4,$V23-4,0)&amp;"")</f>
        <v/>
      </c>
      <c r="F23" s="216" t="str">
        <f ca="1">IF(ISERROR($V23),"",OFFSET('Smelter Look-up'!$E$4,$V23-4,0))</f>
        <v/>
      </c>
      <c r="G23" s="216" t="str">
        <f ca="1">IF(C23=$X$4,"Enter smelter details", IF(ISERROR($V23),"",OFFSET('Smelter Look-up'!$F$4,$V23-4,0)))</f>
        <v/>
      </c>
      <c r="H23" s="217" t="str">
        <f ca="1">IF(ISERROR($V23),"",OFFSET('Smelter Look-up'!$G$4,$V23-4,0))</f>
        <v/>
      </c>
      <c r="I23" s="218" t="str">
        <f ca="1">IF(ISERROR($V23),"",OFFSET('Smelter Look-up'!$H$4,$V23-4,0))</f>
        <v/>
      </c>
      <c r="J23" s="218" t="str">
        <f ca="1">IF(ISERROR($V23),"",OFFSET('Smelter Look-up'!$I$4,$V23-4,0))</f>
        <v/>
      </c>
      <c r="K23" s="267"/>
      <c r="L23" s="267"/>
      <c r="M23" s="267"/>
      <c r="N23" s="267"/>
      <c r="O23" s="267"/>
      <c r="P23" s="219"/>
      <c r="Q23" s="268"/>
      <c r="R23" s="216" t="str">
        <f ca="1">IF(ISERROR($V23),"",OFFSET('Smelter Look-up'!$C$4,$V23-4,0)&amp;"")</f>
        <v/>
      </c>
      <c r="S23" s="224" t="str">
        <f t="shared" ca="1" si="0"/>
        <v/>
      </c>
      <c r="T23" s="224" t="str">
        <f ca="1">IF(B23="","",IF(ISERROR(MATCH($J23,SorP!$B$1:$B$6230,0)),"",INDIRECT("'SorP'!$A$"&amp;MATCH($J23,SorP!$B$1:$B$6230,0))))</f>
        <v/>
      </c>
      <c r="U23" s="239"/>
      <c r="V23" s="269" t="e">
        <f>IF(C23="",NA(),MATCH($B23&amp;$C23,'Smelter Look-up'!$J:$J,0))</f>
        <v>#N/A</v>
      </c>
      <c r="W23" s="270"/>
      <c r="X23" s="270">
        <f t="shared" ca="1" si="1"/>
        <v>0</v>
      </c>
      <c r="Y23" s="270"/>
      <c r="Z23" s="270"/>
      <c r="AB23" s="272" t="str">
        <f t="shared" si="2"/>
        <v/>
      </c>
    </row>
    <row r="24" spans="1:28" s="271" customFormat="1" ht="20.25">
      <c r="A24" s="215"/>
      <c r="B24" s="216" t="str">
        <f>IF(LEN(A24)=0,"",INDEX('Smelter Look-up'!$A:$A,MATCH($A24,'Smelter Look-up'!$E:$E,0)))</f>
        <v/>
      </c>
      <c r="C24" s="220" t="str">
        <f>IF(LEN(A24)=0,"",INDEX('Smelter Look-up'!$C:$C,MATCH($A24,'Smelter Look-up'!$E:$E,0)))</f>
        <v/>
      </c>
      <c r="D24" s="216"/>
      <c r="E24" s="216" t="str">
        <f ca="1">IF(ISERROR($V24),"",OFFSET('Smelter Look-up'!$D$4,$V24-4,0)&amp;"")</f>
        <v/>
      </c>
      <c r="F24" s="216" t="str">
        <f ca="1">IF(ISERROR($V24),"",OFFSET('Smelter Look-up'!$E$4,$V24-4,0))</f>
        <v/>
      </c>
      <c r="G24" s="216" t="str">
        <f ca="1">IF(C24=$X$4,"Enter smelter details", IF(ISERROR($V24),"",OFFSET('Smelter Look-up'!$F$4,$V24-4,0)))</f>
        <v/>
      </c>
      <c r="H24" s="217" t="str">
        <f ca="1">IF(ISERROR($V24),"",OFFSET('Smelter Look-up'!$G$4,$V24-4,0))</f>
        <v/>
      </c>
      <c r="I24" s="218" t="str">
        <f ca="1">IF(ISERROR($V24),"",OFFSET('Smelter Look-up'!$H$4,$V24-4,0))</f>
        <v/>
      </c>
      <c r="J24" s="218" t="str">
        <f ca="1">IF(ISERROR($V24),"",OFFSET('Smelter Look-up'!$I$4,$V24-4,0))</f>
        <v/>
      </c>
      <c r="K24" s="267"/>
      <c r="L24" s="267"/>
      <c r="M24" s="267"/>
      <c r="N24" s="267"/>
      <c r="O24" s="267"/>
      <c r="P24" s="219"/>
      <c r="Q24" s="268"/>
      <c r="R24" s="216" t="str">
        <f ca="1">IF(ISERROR($V24),"",OFFSET('Smelter Look-up'!$C$4,$V24-4,0)&amp;"")</f>
        <v/>
      </c>
      <c r="S24" s="224" t="str">
        <f t="shared" ca="1" si="0"/>
        <v/>
      </c>
      <c r="T24" s="224" t="str">
        <f ca="1">IF(B24="","",IF(ISERROR(MATCH($J24,SorP!$B$1:$B$6230,0)),"",INDIRECT("'SorP'!$A$"&amp;MATCH($J24,SorP!$B$1:$B$6230,0))))</f>
        <v/>
      </c>
      <c r="U24" s="239"/>
      <c r="V24" s="269" t="e">
        <f>IF(C24="",NA(),MATCH($B24&amp;$C24,'Smelter Look-up'!$J:$J,0))</f>
        <v>#N/A</v>
      </c>
      <c r="W24" s="270"/>
      <c r="X24" s="270">
        <f t="shared" ca="1" si="1"/>
        <v>0</v>
      </c>
      <c r="Y24" s="270"/>
      <c r="Z24" s="270"/>
      <c r="AB24" s="272" t="str">
        <f t="shared" si="2"/>
        <v/>
      </c>
    </row>
    <row r="25" spans="1:28" s="271" customFormat="1" ht="20.25">
      <c r="A25" s="215"/>
      <c r="B25" s="216" t="str">
        <f>IF(LEN(A25)=0,"",INDEX('Smelter Look-up'!$A:$A,MATCH($A25,'Smelter Look-up'!$E:$E,0)))</f>
        <v/>
      </c>
      <c r="C25" s="220" t="str">
        <f>IF(LEN(A25)=0,"",INDEX('Smelter Look-up'!$C:$C,MATCH($A25,'Smelter Look-up'!$E:$E,0)))</f>
        <v/>
      </c>
      <c r="D25" s="216"/>
      <c r="E25" s="216" t="str">
        <f ca="1">IF(ISERROR($V25),"",OFFSET('Smelter Look-up'!$D$4,$V25-4,0)&amp;"")</f>
        <v/>
      </c>
      <c r="F25" s="216" t="str">
        <f ca="1">IF(ISERROR($V25),"",OFFSET('Smelter Look-up'!$E$4,$V25-4,0))</f>
        <v/>
      </c>
      <c r="G25" s="216" t="str">
        <f ca="1">IF(C25=$X$4,"Enter smelter details", IF(ISERROR($V25),"",OFFSET('Smelter Look-up'!$F$4,$V25-4,0)))</f>
        <v/>
      </c>
      <c r="H25" s="217" t="str">
        <f ca="1">IF(ISERROR($V25),"",OFFSET('Smelter Look-up'!$G$4,$V25-4,0))</f>
        <v/>
      </c>
      <c r="I25" s="218" t="str">
        <f ca="1">IF(ISERROR($V25),"",OFFSET('Smelter Look-up'!$H$4,$V25-4,0))</f>
        <v/>
      </c>
      <c r="J25" s="218" t="str">
        <f ca="1">IF(ISERROR($V25),"",OFFSET('Smelter Look-up'!$I$4,$V25-4,0))</f>
        <v/>
      </c>
      <c r="K25" s="267"/>
      <c r="L25" s="267"/>
      <c r="M25" s="267"/>
      <c r="N25" s="267"/>
      <c r="O25" s="267"/>
      <c r="P25" s="219"/>
      <c r="Q25" s="268"/>
      <c r="R25" s="216" t="str">
        <f ca="1">IF(ISERROR($V25),"",OFFSET('Smelter Look-up'!$C$4,$V25-4,0)&amp;"")</f>
        <v/>
      </c>
      <c r="S25" s="224" t="str">
        <f t="shared" ca="1" si="0"/>
        <v/>
      </c>
      <c r="T25" s="224" t="str">
        <f ca="1">IF(B25="","",IF(ISERROR(MATCH($J25,SorP!$B$1:$B$6230,0)),"",INDIRECT("'SorP'!$A$"&amp;MATCH($J25,SorP!$B$1:$B$6230,0))))</f>
        <v/>
      </c>
      <c r="U25" s="239"/>
      <c r="V25" s="269" t="e">
        <f>IF(C25="",NA(),MATCH($B25&amp;$C25,'Smelter Look-up'!$J:$J,0))</f>
        <v>#N/A</v>
      </c>
      <c r="W25" s="270"/>
      <c r="X25" s="270">
        <f t="shared" ca="1" si="1"/>
        <v>0</v>
      </c>
      <c r="Y25" s="270"/>
      <c r="Z25" s="270"/>
      <c r="AB25" s="272" t="str">
        <f t="shared" si="2"/>
        <v/>
      </c>
    </row>
    <row r="26" spans="1:28" s="271" customFormat="1" ht="20.25">
      <c r="A26" s="215"/>
      <c r="B26" s="216" t="str">
        <f>IF(LEN(A26)=0,"",INDEX('Smelter Look-up'!$A:$A,MATCH($A26,'Smelter Look-up'!$E:$E,0)))</f>
        <v/>
      </c>
      <c r="C26" s="220" t="str">
        <f>IF(LEN(A26)=0,"",INDEX('Smelter Look-up'!$C:$C,MATCH($A26,'Smelter Look-up'!$E:$E,0)))</f>
        <v/>
      </c>
      <c r="D26" s="216"/>
      <c r="E26" s="216" t="str">
        <f ca="1">IF(ISERROR($V26),"",OFFSET('Smelter Look-up'!$D$4,$V26-4,0)&amp;"")</f>
        <v/>
      </c>
      <c r="F26" s="216" t="str">
        <f ca="1">IF(ISERROR($V26),"",OFFSET('Smelter Look-up'!$E$4,$V26-4,0))</f>
        <v/>
      </c>
      <c r="G26" s="216" t="str">
        <f ca="1">IF(C26=$X$4,"Enter smelter details", IF(ISERROR($V26),"",OFFSET('Smelter Look-up'!$F$4,$V26-4,0)))</f>
        <v/>
      </c>
      <c r="H26" s="217" t="str">
        <f ca="1">IF(ISERROR($V26),"",OFFSET('Smelter Look-up'!$G$4,$V26-4,0))</f>
        <v/>
      </c>
      <c r="I26" s="218" t="str">
        <f ca="1">IF(ISERROR($V26),"",OFFSET('Smelter Look-up'!$H$4,$V26-4,0))</f>
        <v/>
      </c>
      <c r="J26" s="218" t="str">
        <f ca="1">IF(ISERROR($V26),"",OFFSET('Smelter Look-up'!$I$4,$V26-4,0))</f>
        <v/>
      </c>
      <c r="K26" s="267"/>
      <c r="L26" s="267"/>
      <c r="M26" s="267"/>
      <c r="N26" s="267"/>
      <c r="O26" s="267"/>
      <c r="P26" s="219"/>
      <c r="Q26" s="268"/>
      <c r="R26" s="216" t="str">
        <f ca="1">IF(ISERROR($V26),"",OFFSET('Smelter Look-up'!$C$4,$V26-4,0)&amp;"")</f>
        <v/>
      </c>
      <c r="S26" s="224" t="str">
        <f t="shared" ca="1" si="0"/>
        <v/>
      </c>
      <c r="T26" s="224" t="str">
        <f ca="1">IF(B26="","",IF(ISERROR(MATCH($J26,SorP!$B$1:$B$6230,0)),"",INDIRECT("'SorP'!$A$"&amp;MATCH($J26,SorP!$B$1:$B$6230,0))))</f>
        <v/>
      </c>
      <c r="U26" s="239"/>
      <c r="V26" s="269" t="e">
        <f>IF(C26="",NA(),MATCH($B26&amp;$C26,'Smelter Look-up'!$J:$J,0))</f>
        <v>#N/A</v>
      </c>
      <c r="W26" s="270"/>
      <c r="X26" s="270">
        <f t="shared" ca="1" si="1"/>
        <v>0</v>
      </c>
      <c r="Y26" s="270"/>
      <c r="Z26" s="270"/>
      <c r="AB26" s="272" t="str">
        <f t="shared" si="2"/>
        <v/>
      </c>
    </row>
    <row r="27" spans="1:28" s="271" customFormat="1" ht="20.25">
      <c r="A27" s="215"/>
      <c r="B27" s="216" t="str">
        <f>IF(LEN(A27)=0,"",INDEX('Smelter Look-up'!$A:$A,MATCH($A27,'Smelter Look-up'!$E:$E,0)))</f>
        <v/>
      </c>
      <c r="C27" s="220" t="str">
        <f>IF(LEN(A27)=0,"",INDEX('Smelter Look-up'!$C:$C,MATCH($A27,'Smelter Look-up'!$E:$E,0)))</f>
        <v/>
      </c>
      <c r="D27" s="216"/>
      <c r="E27" s="216" t="str">
        <f ca="1">IF(ISERROR($V27),"",OFFSET('Smelter Look-up'!$D$4,$V27-4,0)&amp;"")</f>
        <v/>
      </c>
      <c r="F27" s="216" t="str">
        <f ca="1">IF(ISERROR($V27),"",OFFSET('Smelter Look-up'!$E$4,$V27-4,0))</f>
        <v/>
      </c>
      <c r="G27" s="216" t="str">
        <f ca="1">IF(C27=$X$4,"Enter smelter details", IF(ISERROR($V27),"",OFFSET('Smelter Look-up'!$F$4,$V27-4,0)))</f>
        <v/>
      </c>
      <c r="H27" s="217" t="str">
        <f ca="1">IF(ISERROR($V27),"",OFFSET('Smelter Look-up'!$G$4,$V27-4,0))</f>
        <v/>
      </c>
      <c r="I27" s="218" t="str">
        <f ca="1">IF(ISERROR($V27),"",OFFSET('Smelter Look-up'!$H$4,$V27-4,0))</f>
        <v/>
      </c>
      <c r="J27" s="218" t="str">
        <f ca="1">IF(ISERROR($V27),"",OFFSET('Smelter Look-up'!$I$4,$V27-4,0))</f>
        <v/>
      </c>
      <c r="K27" s="267"/>
      <c r="L27" s="267"/>
      <c r="M27" s="267"/>
      <c r="N27" s="267"/>
      <c r="O27" s="267"/>
      <c r="P27" s="219"/>
      <c r="Q27" s="268"/>
      <c r="R27" s="216" t="str">
        <f ca="1">IF(ISERROR($V27),"",OFFSET('Smelter Look-up'!$C$4,$V27-4,0)&amp;"")</f>
        <v/>
      </c>
      <c r="S27" s="224" t="str">
        <f t="shared" ca="1" si="0"/>
        <v/>
      </c>
      <c r="T27" s="224" t="str">
        <f ca="1">IF(B27="","",IF(ISERROR(MATCH($J27,SorP!$B$1:$B$6230,0)),"",INDIRECT("'SorP'!$A$"&amp;MATCH($J27,SorP!$B$1:$B$6230,0))))</f>
        <v/>
      </c>
      <c r="U27" s="239"/>
      <c r="V27" s="269" t="e">
        <f>IF(C27="",NA(),MATCH($B27&amp;$C27,'Smelter Look-up'!$J:$J,0))</f>
        <v>#N/A</v>
      </c>
      <c r="W27" s="270"/>
      <c r="X27" s="270">
        <f t="shared" ca="1" si="1"/>
        <v>0</v>
      </c>
      <c r="Y27" s="270"/>
      <c r="Z27" s="270"/>
      <c r="AB27" s="272" t="str">
        <f t="shared" si="2"/>
        <v/>
      </c>
    </row>
    <row r="28" spans="1:28" s="271" customFormat="1" ht="20.25">
      <c r="A28" s="215"/>
      <c r="B28" s="216" t="str">
        <f>IF(LEN(A28)=0,"",INDEX('Smelter Look-up'!$A:$A,MATCH($A28,'Smelter Look-up'!$E:$E,0)))</f>
        <v/>
      </c>
      <c r="C28" s="220" t="str">
        <f>IF(LEN(A28)=0,"",INDEX('Smelter Look-up'!$C:$C,MATCH($A28,'Smelter Look-up'!$E:$E,0)))</f>
        <v/>
      </c>
      <c r="D28" s="216"/>
      <c r="E28" s="216" t="str">
        <f ca="1">IF(ISERROR($V28),"",OFFSET('Smelter Look-up'!$D$4,$V28-4,0)&amp;"")</f>
        <v/>
      </c>
      <c r="F28" s="216" t="str">
        <f ca="1">IF(ISERROR($V28),"",OFFSET('Smelter Look-up'!$E$4,$V28-4,0))</f>
        <v/>
      </c>
      <c r="G28" s="216" t="str">
        <f ca="1">IF(C28=$X$4,"Enter smelter details", IF(ISERROR($V28),"",OFFSET('Smelter Look-up'!$F$4,$V28-4,0)))</f>
        <v/>
      </c>
      <c r="H28" s="217" t="str">
        <f ca="1">IF(ISERROR($V28),"",OFFSET('Smelter Look-up'!$G$4,$V28-4,0))</f>
        <v/>
      </c>
      <c r="I28" s="218" t="str">
        <f ca="1">IF(ISERROR($V28),"",OFFSET('Smelter Look-up'!$H$4,$V28-4,0))</f>
        <v/>
      </c>
      <c r="J28" s="218" t="str">
        <f ca="1">IF(ISERROR($V28),"",OFFSET('Smelter Look-up'!$I$4,$V28-4,0))</f>
        <v/>
      </c>
      <c r="K28" s="267"/>
      <c r="L28" s="267"/>
      <c r="M28" s="267"/>
      <c r="N28" s="267"/>
      <c r="O28" s="267"/>
      <c r="P28" s="219"/>
      <c r="Q28" s="268"/>
      <c r="R28" s="216" t="str">
        <f ca="1">IF(ISERROR($V28),"",OFFSET('Smelter Look-up'!$C$4,$V28-4,0)&amp;"")</f>
        <v/>
      </c>
      <c r="S28" s="224" t="str">
        <f t="shared" ca="1" si="0"/>
        <v/>
      </c>
      <c r="T28" s="224" t="str">
        <f ca="1">IF(B28="","",IF(ISERROR(MATCH($J28,SorP!$B$1:$B$6230,0)),"",INDIRECT("'SorP'!$A$"&amp;MATCH($J28,SorP!$B$1:$B$6230,0))))</f>
        <v/>
      </c>
      <c r="U28" s="239"/>
      <c r="V28" s="269" t="e">
        <f>IF(C28="",NA(),MATCH($B28&amp;$C28,'Smelter Look-up'!$J:$J,0))</f>
        <v>#N/A</v>
      </c>
      <c r="W28" s="270"/>
      <c r="X28" s="270">
        <f t="shared" ca="1" si="1"/>
        <v>0</v>
      </c>
      <c r="Y28" s="270"/>
      <c r="Z28" s="270"/>
      <c r="AB28" s="272" t="str">
        <f t="shared" si="2"/>
        <v/>
      </c>
    </row>
    <row r="29" spans="1:28" s="271" customFormat="1" ht="20.25">
      <c r="A29" s="215"/>
      <c r="B29" s="216" t="str">
        <f>IF(LEN(A29)=0,"",INDEX('Smelter Look-up'!$A:$A,MATCH($A29,'Smelter Look-up'!$E:$E,0)))</f>
        <v/>
      </c>
      <c r="C29" s="220" t="str">
        <f>IF(LEN(A29)=0,"",INDEX('Smelter Look-up'!$C:$C,MATCH($A29,'Smelter Look-up'!$E:$E,0)))</f>
        <v/>
      </c>
      <c r="D29" s="216"/>
      <c r="E29" s="216" t="str">
        <f ca="1">IF(ISERROR($V29),"",OFFSET('Smelter Look-up'!$D$4,$V29-4,0)&amp;"")</f>
        <v/>
      </c>
      <c r="F29" s="216" t="str">
        <f ca="1">IF(ISERROR($V29),"",OFFSET('Smelter Look-up'!$E$4,$V29-4,0))</f>
        <v/>
      </c>
      <c r="G29" s="216" t="str">
        <f ca="1">IF(C29=$X$4,"Enter smelter details", IF(ISERROR($V29),"",OFFSET('Smelter Look-up'!$F$4,$V29-4,0)))</f>
        <v/>
      </c>
      <c r="H29" s="217" t="str">
        <f ca="1">IF(ISERROR($V29),"",OFFSET('Smelter Look-up'!$G$4,$V29-4,0))</f>
        <v/>
      </c>
      <c r="I29" s="218" t="str">
        <f ca="1">IF(ISERROR($V29),"",OFFSET('Smelter Look-up'!$H$4,$V29-4,0))</f>
        <v/>
      </c>
      <c r="J29" s="218" t="str">
        <f ca="1">IF(ISERROR($V29),"",OFFSET('Smelter Look-up'!$I$4,$V29-4,0))</f>
        <v/>
      </c>
      <c r="K29" s="267"/>
      <c r="L29" s="267"/>
      <c r="M29" s="267"/>
      <c r="N29" s="267"/>
      <c r="O29" s="267"/>
      <c r="P29" s="219"/>
      <c r="Q29" s="268"/>
      <c r="R29" s="216" t="str">
        <f ca="1">IF(ISERROR($V29),"",OFFSET('Smelter Look-up'!$C$4,$V29-4,0)&amp;"")</f>
        <v/>
      </c>
      <c r="S29" s="224" t="str">
        <f t="shared" ca="1" si="0"/>
        <v/>
      </c>
      <c r="T29" s="224" t="str">
        <f ca="1">IF(B29="","",IF(ISERROR(MATCH($J29,SorP!$B$1:$B$6230,0)),"",INDIRECT("'SorP'!$A$"&amp;MATCH($J29,SorP!$B$1:$B$6230,0))))</f>
        <v/>
      </c>
      <c r="U29" s="239"/>
      <c r="V29" s="269" t="e">
        <f>IF(C29="",NA(),MATCH($B29&amp;$C29,'Smelter Look-up'!$J:$J,0))</f>
        <v>#N/A</v>
      </c>
      <c r="W29" s="270"/>
      <c r="X29" s="270">
        <f t="shared" ca="1" si="1"/>
        <v>0</v>
      </c>
      <c r="Y29" s="270"/>
      <c r="Z29" s="270"/>
      <c r="AB29" s="272" t="str">
        <f t="shared" si="2"/>
        <v/>
      </c>
    </row>
    <row r="30" spans="1:28" s="271" customFormat="1" ht="20.25">
      <c r="A30" s="215"/>
      <c r="B30" s="216" t="str">
        <f>IF(LEN(A30)=0,"",INDEX('Smelter Look-up'!$A:$A,MATCH($A30,'Smelter Look-up'!$E:$E,0)))</f>
        <v/>
      </c>
      <c r="C30" s="220" t="str">
        <f>IF(LEN(A30)=0,"",INDEX('Smelter Look-up'!$C:$C,MATCH($A30,'Smelter Look-up'!$E:$E,0)))</f>
        <v/>
      </c>
      <c r="D30" s="216"/>
      <c r="E30" s="216" t="str">
        <f ca="1">IF(ISERROR($V30),"",OFFSET('Smelter Look-up'!$D$4,$V30-4,0)&amp;"")</f>
        <v/>
      </c>
      <c r="F30" s="216" t="str">
        <f ca="1">IF(ISERROR($V30),"",OFFSET('Smelter Look-up'!$E$4,$V30-4,0))</f>
        <v/>
      </c>
      <c r="G30" s="216" t="str">
        <f ca="1">IF(C30=$X$4,"Enter smelter details", IF(ISERROR($V30),"",OFFSET('Smelter Look-up'!$F$4,$V30-4,0)))</f>
        <v/>
      </c>
      <c r="H30" s="217" t="str">
        <f ca="1">IF(ISERROR($V30),"",OFFSET('Smelter Look-up'!$G$4,$V30-4,0))</f>
        <v/>
      </c>
      <c r="I30" s="218" t="str">
        <f ca="1">IF(ISERROR($V30),"",OFFSET('Smelter Look-up'!$H$4,$V30-4,0))</f>
        <v/>
      </c>
      <c r="J30" s="218" t="str">
        <f ca="1">IF(ISERROR($V30),"",OFFSET('Smelter Look-up'!$I$4,$V30-4,0))</f>
        <v/>
      </c>
      <c r="K30" s="267"/>
      <c r="L30" s="267"/>
      <c r="M30" s="267"/>
      <c r="N30" s="267"/>
      <c r="O30" s="267"/>
      <c r="P30" s="219"/>
      <c r="Q30" s="268"/>
      <c r="R30" s="216" t="str">
        <f ca="1">IF(ISERROR($V30),"",OFFSET('Smelter Look-up'!$C$4,$V30-4,0)&amp;"")</f>
        <v/>
      </c>
      <c r="S30" s="224" t="str">
        <f t="shared" ca="1" si="0"/>
        <v/>
      </c>
      <c r="T30" s="224" t="str">
        <f ca="1">IF(B30="","",IF(ISERROR(MATCH($J30,SorP!$B$1:$B$6230,0)),"",INDIRECT("'SorP'!$A$"&amp;MATCH($J30,SorP!$B$1:$B$6230,0))))</f>
        <v/>
      </c>
      <c r="U30" s="239"/>
      <c r="V30" s="269" t="e">
        <f>IF(C30="",NA(),MATCH($B30&amp;$C30,'Smelter Look-up'!$J:$J,0))</f>
        <v>#N/A</v>
      </c>
      <c r="W30" s="270"/>
      <c r="X30" s="270">
        <f t="shared" ca="1" si="1"/>
        <v>0</v>
      </c>
      <c r="Y30" s="270"/>
      <c r="Z30" s="270"/>
      <c r="AB30" s="272" t="str">
        <f t="shared" si="2"/>
        <v/>
      </c>
    </row>
    <row r="31" spans="1:28" s="271" customFormat="1" ht="20.25">
      <c r="A31" s="215"/>
      <c r="B31" s="216" t="str">
        <f>IF(LEN(A31)=0,"",INDEX('Smelter Look-up'!$A:$A,MATCH($A31,'Smelter Look-up'!$E:$E,0)))</f>
        <v/>
      </c>
      <c r="C31" s="220" t="str">
        <f>IF(LEN(A31)=0,"",INDEX('Smelter Look-up'!$C:$C,MATCH($A31,'Smelter Look-up'!$E:$E,0)))</f>
        <v/>
      </c>
      <c r="D31" s="216"/>
      <c r="E31" s="216" t="str">
        <f ca="1">IF(ISERROR($V31),"",OFFSET('Smelter Look-up'!$D$4,$V31-4,0)&amp;"")</f>
        <v/>
      </c>
      <c r="F31" s="216" t="str">
        <f ca="1">IF(ISERROR($V31),"",OFFSET('Smelter Look-up'!$E$4,$V31-4,0))</f>
        <v/>
      </c>
      <c r="G31" s="216" t="str">
        <f ca="1">IF(C31=$X$4,"Enter smelter details", IF(ISERROR($V31),"",OFFSET('Smelter Look-up'!$F$4,$V31-4,0)))</f>
        <v/>
      </c>
      <c r="H31" s="217" t="str">
        <f ca="1">IF(ISERROR($V31),"",OFFSET('Smelter Look-up'!$G$4,$V31-4,0))</f>
        <v/>
      </c>
      <c r="I31" s="218" t="str">
        <f ca="1">IF(ISERROR($V31),"",OFFSET('Smelter Look-up'!$H$4,$V31-4,0))</f>
        <v/>
      </c>
      <c r="J31" s="218" t="str">
        <f ca="1">IF(ISERROR($V31),"",OFFSET('Smelter Look-up'!$I$4,$V31-4,0))</f>
        <v/>
      </c>
      <c r="K31" s="267"/>
      <c r="L31" s="267"/>
      <c r="M31" s="267"/>
      <c r="N31" s="267"/>
      <c r="O31" s="267"/>
      <c r="P31" s="219"/>
      <c r="Q31" s="268"/>
      <c r="R31" s="216" t="str">
        <f ca="1">IF(ISERROR($V31),"",OFFSET('Smelter Look-up'!$C$4,$V31-4,0)&amp;"")</f>
        <v/>
      </c>
      <c r="S31" s="224" t="str">
        <f t="shared" ca="1" si="0"/>
        <v/>
      </c>
      <c r="T31" s="224" t="str">
        <f ca="1">IF(B31="","",IF(ISERROR(MATCH($J31,SorP!$B$1:$B$6230,0)),"",INDIRECT("'SorP'!$A$"&amp;MATCH($J31,SorP!$B$1:$B$6230,0))))</f>
        <v/>
      </c>
      <c r="U31" s="239"/>
      <c r="V31" s="269" t="e">
        <f>IF(C31="",NA(),MATCH($B31&amp;$C31,'Smelter Look-up'!$J:$J,0))</f>
        <v>#N/A</v>
      </c>
      <c r="W31" s="270"/>
      <c r="X31" s="270">
        <f t="shared" ca="1" si="1"/>
        <v>0</v>
      </c>
      <c r="Y31" s="270"/>
      <c r="Z31" s="270"/>
      <c r="AB31" s="272" t="str">
        <f t="shared" si="2"/>
        <v/>
      </c>
    </row>
    <row r="32" spans="1:28" s="271" customFormat="1" ht="20.25">
      <c r="A32" s="215"/>
      <c r="B32" s="216" t="str">
        <f>IF(LEN(A32)=0,"",INDEX('Smelter Look-up'!$A:$A,MATCH($A32,'Smelter Look-up'!$E:$E,0)))</f>
        <v/>
      </c>
      <c r="C32" s="220" t="str">
        <f>IF(LEN(A32)=0,"",INDEX('Smelter Look-up'!$C:$C,MATCH($A32,'Smelter Look-up'!$E:$E,0)))</f>
        <v/>
      </c>
      <c r="D32" s="216"/>
      <c r="E32" s="216" t="str">
        <f ca="1">IF(ISERROR($V32),"",OFFSET('Smelter Look-up'!$D$4,$V32-4,0)&amp;"")</f>
        <v/>
      </c>
      <c r="F32" s="216" t="str">
        <f ca="1">IF(ISERROR($V32),"",OFFSET('Smelter Look-up'!$E$4,$V32-4,0))</f>
        <v/>
      </c>
      <c r="G32" s="216" t="str">
        <f ca="1">IF(C32=$X$4,"Enter smelter details", IF(ISERROR($V32),"",OFFSET('Smelter Look-up'!$F$4,$V32-4,0)))</f>
        <v/>
      </c>
      <c r="H32" s="217" t="str">
        <f ca="1">IF(ISERROR($V32),"",OFFSET('Smelter Look-up'!$G$4,$V32-4,0))</f>
        <v/>
      </c>
      <c r="I32" s="218" t="str">
        <f ca="1">IF(ISERROR($V32),"",OFFSET('Smelter Look-up'!$H$4,$V32-4,0))</f>
        <v/>
      </c>
      <c r="J32" s="218" t="str">
        <f ca="1">IF(ISERROR($V32),"",OFFSET('Smelter Look-up'!$I$4,$V32-4,0))</f>
        <v/>
      </c>
      <c r="K32" s="267"/>
      <c r="L32" s="267"/>
      <c r="M32" s="267"/>
      <c r="N32" s="267"/>
      <c r="O32" s="267"/>
      <c r="P32" s="219"/>
      <c r="Q32" s="268"/>
      <c r="R32" s="216" t="str">
        <f ca="1">IF(ISERROR($V32),"",OFFSET('Smelter Look-up'!$C$4,$V32-4,0)&amp;"")</f>
        <v/>
      </c>
      <c r="S32" s="224" t="str">
        <f t="shared" ca="1" si="0"/>
        <v/>
      </c>
      <c r="T32" s="224" t="str">
        <f ca="1">IF(B32="","",IF(ISERROR(MATCH($J32,SorP!$B$1:$B$6230,0)),"",INDIRECT("'SorP'!$A$"&amp;MATCH($J32,SorP!$B$1:$B$6230,0))))</f>
        <v/>
      </c>
      <c r="U32" s="239"/>
      <c r="V32" s="269" t="e">
        <f>IF(C32="",NA(),MATCH($B32&amp;$C32,'Smelter Look-up'!$J:$J,0))</f>
        <v>#N/A</v>
      </c>
      <c r="W32" s="270"/>
      <c r="X32" s="270">
        <f t="shared" ca="1" si="1"/>
        <v>0</v>
      </c>
      <c r="Y32" s="270"/>
      <c r="Z32" s="270"/>
      <c r="AB32" s="272" t="str">
        <f t="shared" si="2"/>
        <v/>
      </c>
    </row>
    <row r="33" spans="1:28" s="271" customFormat="1" ht="20.25">
      <c r="A33" s="215"/>
      <c r="B33" s="216" t="str">
        <f>IF(LEN(A33)=0,"",INDEX('Smelter Look-up'!$A:$A,MATCH($A33,'Smelter Look-up'!$E:$E,0)))</f>
        <v/>
      </c>
      <c r="C33" s="220" t="str">
        <f>IF(LEN(A33)=0,"",INDEX('Smelter Look-up'!$C:$C,MATCH($A33,'Smelter Look-up'!$E:$E,0)))</f>
        <v/>
      </c>
      <c r="D33" s="216"/>
      <c r="E33" s="216" t="str">
        <f ca="1">IF(ISERROR($V33),"",OFFSET('Smelter Look-up'!$D$4,$V33-4,0)&amp;"")</f>
        <v/>
      </c>
      <c r="F33" s="216" t="str">
        <f ca="1">IF(ISERROR($V33),"",OFFSET('Smelter Look-up'!$E$4,$V33-4,0))</f>
        <v/>
      </c>
      <c r="G33" s="216" t="str">
        <f ca="1">IF(C33=$X$4,"Enter smelter details", IF(ISERROR($V33),"",OFFSET('Smelter Look-up'!$F$4,$V33-4,0)))</f>
        <v/>
      </c>
      <c r="H33" s="217" t="str">
        <f ca="1">IF(ISERROR($V33),"",OFFSET('Smelter Look-up'!$G$4,$V33-4,0))</f>
        <v/>
      </c>
      <c r="I33" s="218" t="str">
        <f ca="1">IF(ISERROR($V33),"",OFFSET('Smelter Look-up'!$H$4,$V33-4,0))</f>
        <v/>
      </c>
      <c r="J33" s="218" t="str">
        <f ca="1">IF(ISERROR($V33),"",OFFSET('Smelter Look-up'!$I$4,$V33-4,0))</f>
        <v/>
      </c>
      <c r="K33" s="267"/>
      <c r="L33" s="267"/>
      <c r="M33" s="267"/>
      <c r="N33" s="267"/>
      <c r="O33" s="267"/>
      <c r="P33" s="219"/>
      <c r="Q33" s="268"/>
      <c r="R33" s="216" t="str">
        <f ca="1">IF(ISERROR($V33),"",OFFSET('Smelter Look-up'!$C$4,$V33-4,0)&amp;"")</f>
        <v/>
      </c>
      <c r="S33" s="224" t="str">
        <f t="shared" ca="1" si="0"/>
        <v/>
      </c>
      <c r="T33" s="224" t="str">
        <f ca="1">IF(B33="","",IF(ISERROR(MATCH($J33,SorP!$B$1:$B$6230,0)),"",INDIRECT("'SorP'!$A$"&amp;MATCH($J33,SorP!$B$1:$B$6230,0))))</f>
        <v/>
      </c>
      <c r="U33" s="239"/>
      <c r="V33" s="269" t="e">
        <f>IF(C33="",NA(),MATCH($B33&amp;$C33,'Smelter Look-up'!$J:$J,0))</f>
        <v>#N/A</v>
      </c>
      <c r="W33" s="270"/>
      <c r="X33" s="270">
        <f t="shared" ca="1" si="1"/>
        <v>0</v>
      </c>
      <c r="Y33" s="270"/>
      <c r="Z33" s="270"/>
      <c r="AB33" s="272" t="str">
        <f t="shared" si="2"/>
        <v/>
      </c>
    </row>
    <row r="34" spans="1:28" s="271" customFormat="1" ht="20.25">
      <c r="A34" s="215"/>
      <c r="B34" s="216" t="str">
        <f>IF(LEN(A34)=0,"",INDEX('Smelter Look-up'!$A:$A,MATCH($A34,'Smelter Look-up'!$E:$E,0)))</f>
        <v/>
      </c>
      <c r="C34" s="220" t="str">
        <f>IF(LEN(A34)=0,"",INDEX('Smelter Look-up'!$C:$C,MATCH($A34,'Smelter Look-up'!$E:$E,0)))</f>
        <v/>
      </c>
      <c r="D34" s="216"/>
      <c r="E34" s="216" t="str">
        <f ca="1">IF(ISERROR($V34),"",OFFSET('Smelter Look-up'!$D$4,$V34-4,0)&amp;"")</f>
        <v/>
      </c>
      <c r="F34" s="216" t="str">
        <f ca="1">IF(ISERROR($V34),"",OFFSET('Smelter Look-up'!$E$4,$V34-4,0))</f>
        <v/>
      </c>
      <c r="G34" s="216" t="str">
        <f ca="1">IF(C34=$X$4,"Enter smelter details", IF(ISERROR($V34),"",OFFSET('Smelter Look-up'!$F$4,$V34-4,0)))</f>
        <v/>
      </c>
      <c r="H34" s="217" t="str">
        <f ca="1">IF(ISERROR($V34),"",OFFSET('Smelter Look-up'!$G$4,$V34-4,0))</f>
        <v/>
      </c>
      <c r="I34" s="218" t="str">
        <f ca="1">IF(ISERROR($V34),"",OFFSET('Smelter Look-up'!$H$4,$V34-4,0))</f>
        <v/>
      </c>
      <c r="J34" s="218" t="str">
        <f ca="1">IF(ISERROR($V34),"",OFFSET('Smelter Look-up'!$I$4,$V34-4,0))</f>
        <v/>
      </c>
      <c r="K34" s="267"/>
      <c r="L34" s="267"/>
      <c r="M34" s="267"/>
      <c r="N34" s="267"/>
      <c r="O34" s="267"/>
      <c r="P34" s="219"/>
      <c r="Q34" s="268"/>
      <c r="R34" s="216" t="str">
        <f ca="1">IF(ISERROR($V34),"",OFFSET('Smelter Look-up'!$C$4,$V34-4,0)&amp;"")</f>
        <v/>
      </c>
      <c r="S34" s="224" t="str">
        <f t="shared" ca="1" si="0"/>
        <v/>
      </c>
      <c r="T34" s="224" t="str">
        <f ca="1">IF(B34="","",IF(ISERROR(MATCH($J34,SorP!$B$1:$B$6230,0)),"",INDIRECT("'SorP'!$A$"&amp;MATCH($J34,SorP!$B$1:$B$6230,0))))</f>
        <v/>
      </c>
      <c r="U34" s="239"/>
      <c r="V34" s="269" t="e">
        <f>IF(C34="",NA(),MATCH($B34&amp;$C34,'Smelter Look-up'!$J:$J,0))</f>
        <v>#N/A</v>
      </c>
      <c r="W34" s="270"/>
      <c r="X34" s="270">
        <f t="shared" ca="1" si="1"/>
        <v>0</v>
      </c>
      <c r="Y34" s="270"/>
      <c r="Z34" s="270"/>
      <c r="AB34" s="272" t="str">
        <f t="shared" si="2"/>
        <v/>
      </c>
    </row>
    <row r="35" spans="1:28" s="271" customFormat="1" ht="20.25">
      <c r="A35" s="215"/>
      <c r="B35" s="216" t="str">
        <f>IF(LEN(A35)=0,"",INDEX('Smelter Look-up'!$A:$A,MATCH($A35,'Smelter Look-up'!$E:$E,0)))</f>
        <v/>
      </c>
      <c r="C35" s="220" t="str">
        <f>IF(LEN(A35)=0,"",INDEX('Smelter Look-up'!$C:$C,MATCH($A35,'Smelter Look-up'!$E:$E,0)))</f>
        <v/>
      </c>
      <c r="D35" s="216"/>
      <c r="E35" s="216" t="str">
        <f ca="1">IF(ISERROR($V35),"",OFFSET('Smelter Look-up'!$D$4,$V35-4,0)&amp;"")</f>
        <v/>
      </c>
      <c r="F35" s="216" t="str">
        <f ca="1">IF(ISERROR($V35),"",OFFSET('Smelter Look-up'!$E$4,$V35-4,0))</f>
        <v/>
      </c>
      <c r="G35" s="216" t="str">
        <f ca="1">IF(C35=$X$4,"Enter smelter details", IF(ISERROR($V35),"",OFFSET('Smelter Look-up'!$F$4,$V35-4,0)))</f>
        <v/>
      </c>
      <c r="H35" s="217" t="str">
        <f ca="1">IF(ISERROR($V35),"",OFFSET('Smelter Look-up'!$G$4,$V35-4,0))</f>
        <v/>
      </c>
      <c r="I35" s="218" t="str">
        <f ca="1">IF(ISERROR($V35),"",OFFSET('Smelter Look-up'!$H$4,$V35-4,0))</f>
        <v/>
      </c>
      <c r="J35" s="218" t="str">
        <f ca="1">IF(ISERROR($V35),"",OFFSET('Smelter Look-up'!$I$4,$V35-4,0))</f>
        <v/>
      </c>
      <c r="K35" s="267"/>
      <c r="L35" s="267"/>
      <c r="M35" s="267"/>
      <c r="N35" s="267"/>
      <c r="O35" s="267"/>
      <c r="P35" s="219"/>
      <c r="Q35" s="268"/>
      <c r="R35" s="216" t="str">
        <f ca="1">IF(ISERROR($V35),"",OFFSET('Smelter Look-up'!$C$4,$V35-4,0)&amp;"")</f>
        <v/>
      </c>
      <c r="S35" s="224" t="str">
        <f t="shared" ca="1" si="0"/>
        <v/>
      </c>
      <c r="T35" s="224" t="str">
        <f ca="1">IF(B35="","",IF(ISERROR(MATCH($J35,SorP!$B$1:$B$6230,0)),"",INDIRECT("'SorP'!$A$"&amp;MATCH($J35,SorP!$B$1:$B$6230,0))))</f>
        <v/>
      </c>
      <c r="U35" s="239"/>
      <c r="V35" s="269" t="e">
        <f>IF(C35="",NA(),MATCH($B35&amp;$C35,'Smelter Look-up'!$J:$J,0))</f>
        <v>#N/A</v>
      </c>
      <c r="W35" s="270"/>
      <c r="X35" s="270">
        <f t="shared" ca="1" si="1"/>
        <v>0</v>
      </c>
      <c r="Y35" s="270"/>
      <c r="Z35" s="270"/>
      <c r="AB35" s="272" t="str">
        <f t="shared" si="2"/>
        <v/>
      </c>
    </row>
    <row r="36" spans="1:28" s="271" customFormat="1" ht="20.25">
      <c r="A36" s="215"/>
      <c r="B36" s="216" t="str">
        <f>IF(LEN(A36)=0,"",INDEX('Smelter Look-up'!$A:$A,MATCH($A36,'Smelter Look-up'!$E:$E,0)))</f>
        <v/>
      </c>
      <c r="C36" s="220" t="str">
        <f>IF(LEN(A36)=0,"",INDEX('Smelter Look-up'!$C:$C,MATCH($A36,'Smelter Look-up'!$E:$E,0)))</f>
        <v/>
      </c>
      <c r="D36" s="216"/>
      <c r="E36" s="216" t="str">
        <f ca="1">IF(ISERROR($V36),"",OFFSET('Smelter Look-up'!$D$4,$V36-4,0)&amp;"")</f>
        <v/>
      </c>
      <c r="F36" s="216" t="str">
        <f ca="1">IF(ISERROR($V36),"",OFFSET('Smelter Look-up'!$E$4,$V36-4,0))</f>
        <v/>
      </c>
      <c r="G36" s="216" t="str">
        <f ca="1">IF(C36=$X$4,"Enter smelter details", IF(ISERROR($V36),"",OFFSET('Smelter Look-up'!$F$4,$V36-4,0)))</f>
        <v/>
      </c>
      <c r="H36" s="217" t="str">
        <f ca="1">IF(ISERROR($V36),"",OFFSET('Smelter Look-up'!$G$4,$V36-4,0))</f>
        <v/>
      </c>
      <c r="I36" s="218" t="str">
        <f ca="1">IF(ISERROR($V36),"",OFFSET('Smelter Look-up'!$H$4,$V36-4,0))</f>
        <v/>
      </c>
      <c r="J36" s="218" t="str">
        <f ca="1">IF(ISERROR($V36),"",OFFSET('Smelter Look-up'!$I$4,$V36-4,0))</f>
        <v/>
      </c>
      <c r="K36" s="267"/>
      <c r="L36" s="267"/>
      <c r="M36" s="267"/>
      <c r="N36" s="267"/>
      <c r="O36" s="267"/>
      <c r="P36" s="219"/>
      <c r="Q36" s="268"/>
      <c r="R36" s="216" t="str">
        <f ca="1">IF(ISERROR($V36),"",OFFSET('Smelter Look-up'!$C$4,$V36-4,0)&amp;"")</f>
        <v/>
      </c>
      <c r="S36" s="224" t="str">
        <f t="shared" ca="1" si="0"/>
        <v/>
      </c>
      <c r="T36" s="224" t="str">
        <f ca="1">IF(B36="","",IF(ISERROR(MATCH($J36,SorP!$B$1:$B$6230,0)),"",INDIRECT("'SorP'!$A$"&amp;MATCH($J36,SorP!$B$1:$B$6230,0))))</f>
        <v/>
      </c>
      <c r="U36" s="239"/>
      <c r="V36" s="269" t="e">
        <f>IF(C36="",NA(),MATCH($B36&amp;$C36,'Smelter Look-up'!$J:$J,0))</f>
        <v>#N/A</v>
      </c>
      <c r="W36" s="270"/>
      <c r="X36" s="270">
        <f t="shared" ca="1" si="1"/>
        <v>0</v>
      </c>
      <c r="Y36" s="270"/>
      <c r="Z36" s="270"/>
      <c r="AB36" s="272" t="str">
        <f t="shared" si="2"/>
        <v/>
      </c>
    </row>
    <row r="37" spans="1:28" s="271" customFormat="1" ht="20.25">
      <c r="A37" s="215"/>
      <c r="B37" s="216" t="str">
        <f>IF(LEN(A37)=0,"",INDEX('Smelter Look-up'!$A:$A,MATCH($A37,'Smelter Look-up'!$E:$E,0)))</f>
        <v/>
      </c>
      <c r="C37" s="220" t="str">
        <f>IF(LEN(A37)=0,"",INDEX('Smelter Look-up'!$C:$C,MATCH($A37,'Smelter Look-up'!$E:$E,0)))</f>
        <v/>
      </c>
      <c r="D37" s="216"/>
      <c r="E37" s="216" t="str">
        <f ca="1">IF(ISERROR($V37),"",OFFSET('Smelter Look-up'!$D$4,$V37-4,0)&amp;"")</f>
        <v/>
      </c>
      <c r="F37" s="216" t="str">
        <f ca="1">IF(ISERROR($V37),"",OFFSET('Smelter Look-up'!$E$4,$V37-4,0))</f>
        <v/>
      </c>
      <c r="G37" s="216" t="str">
        <f ca="1">IF(C37=$X$4,"Enter smelter details", IF(ISERROR($V37),"",OFFSET('Smelter Look-up'!$F$4,$V37-4,0)))</f>
        <v/>
      </c>
      <c r="H37" s="217" t="str">
        <f ca="1">IF(ISERROR($V37),"",OFFSET('Smelter Look-up'!$G$4,$V37-4,0))</f>
        <v/>
      </c>
      <c r="I37" s="218" t="str">
        <f ca="1">IF(ISERROR($V37),"",OFFSET('Smelter Look-up'!$H$4,$V37-4,0))</f>
        <v/>
      </c>
      <c r="J37" s="218" t="str">
        <f ca="1">IF(ISERROR($V37),"",OFFSET('Smelter Look-up'!$I$4,$V37-4,0))</f>
        <v/>
      </c>
      <c r="K37" s="267"/>
      <c r="L37" s="267"/>
      <c r="M37" s="267"/>
      <c r="N37" s="267"/>
      <c r="O37" s="267"/>
      <c r="P37" s="219"/>
      <c r="Q37" s="268"/>
      <c r="R37" s="216" t="str">
        <f ca="1">IF(ISERROR($V37),"",OFFSET('Smelter Look-up'!$C$4,$V37-4,0)&amp;"")</f>
        <v/>
      </c>
      <c r="S37" s="224" t="str">
        <f t="shared" ca="1" si="0"/>
        <v/>
      </c>
      <c r="T37" s="224" t="str">
        <f ca="1">IF(B37="","",IF(ISERROR(MATCH($J37,SorP!$B$1:$B$6230,0)),"",INDIRECT("'SorP'!$A$"&amp;MATCH($J37,SorP!$B$1:$B$6230,0))))</f>
        <v/>
      </c>
      <c r="U37" s="239"/>
      <c r="V37" s="269" t="e">
        <f>IF(C37="",NA(),MATCH($B37&amp;$C37,'Smelter Look-up'!$J:$J,0))</f>
        <v>#N/A</v>
      </c>
      <c r="W37" s="270"/>
      <c r="X37" s="270">
        <f t="shared" ca="1" si="1"/>
        <v>0</v>
      </c>
      <c r="Y37" s="270"/>
      <c r="Z37" s="270"/>
      <c r="AB37" s="272" t="str">
        <f t="shared" si="2"/>
        <v/>
      </c>
    </row>
    <row r="38" spans="1:28" s="271" customFormat="1" ht="20.25">
      <c r="A38" s="215"/>
      <c r="B38" s="216" t="str">
        <f>IF(LEN(A38)=0,"",INDEX('Smelter Look-up'!$A:$A,MATCH($A38,'Smelter Look-up'!$E:$E,0)))</f>
        <v/>
      </c>
      <c r="C38" s="220" t="str">
        <f>IF(LEN(A38)=0,"",INDEX('Smelter Look-up'!$C:$C,MATCH($A38,'Smelter Look-up'!$E:$E,0)))</f>
        <v/>
      </c>
      <c r="D38" s="216"/>
      <c r="E38" s="216" t="str">
        <f ca="1">IF(ISERROR($V38),"",OFFSET('Smelter Look-up'!$D$4,$V38-4,0)&amp;"")</f>
        <v/>
      </c>
      <c r="F38" s="216" t="str">
        <f ca="1">IF(ISERROR($V38),"",OFFSET('Smelter Look-up'!$E$4,$V38-4,0))</f>
        <v/>
      </c>
      <c r="G38" s="216" t="str">
        <f ca="1">IF(C38=$X$4,"Enter smelter details", IF(ISERROR($V38),"",OFFSET('Smelter Look-up'!$F$4,$V38-4,0)))</f>
        <v/>
      </c>
      <c r="H38" s="217" t="str">
        <f ca="1">IF(ISERROR($V38),"",OFFSET('Smelter Look-up'!$G$4,$V38-4,0))</f>
        <v/>
      </c>
      <c r="I38" s="218" t="str">
        <f ca="1">IF(ISERROR($V38),"",OFFSET('Smelter Look-up'!$H$4,$V38-4,0))</f>
        <v/>
      </c>
      <c r="J38" s="218" t="str">
        <f ca="1">IF(ISERROR($V38),"",OFFSET('Smelter Look-up'!$I$4,$V38-4,0))</f>
        <v/>
      </c>
      <c r="K38" s="267"/>
      <c r="L38" s="267"/>
      <c r="M38" s="267"/>
      <c r="N38" s="267"/>
      <c r="O38" s="267"/>
      <c r="P38" s="219"/>
      <c r="Q38" s="268"/>
      <c r="R38" s="216" t="str">
        <f ca="1">IF(ISERROR($V38),"",OFFSET('Smelter Look-up'!$C$4,$V38-4,0)&amp;"")</f>
        <v/>
      </c>
      <c r="S38" s="224" t="str">
        <f t="shared" ca="1" si="0"/>
        <v/>
      </c>
      <c r="T38" s="224" t="str">
        <f ca="1">IF(B38="","",IF(ISERROR(MATCH($J38,SorP!$B$1:$B$6230,0)),"",INDIRECT("'SorP'!$A$"&amp;MATCH($J38,SorP!$B$1:$B$6230,0))))</f>
        <v/>
      </c>
      <c r="U38" s="239"/>
      <c r="V38" s="269" t="e">
        <f>IF(C38="",NA(),MATCH($B38&amp;$C38,'Smelter Look-up'!$J:$J,0))</f>
        <v>#N/A</v>
      </c>
      <c r="W38" s="270"/>
      <c r="X38" s="270">
        <f t="shared" ca="1" si="1"/>
        <v>0</v>
      </c>
      <c r="Y38" s="270"/>
      <c r="Z38" s="270"/>
      <c r="AB38" s="272" t="str">
        <f t="shared" si="2"/>
        <v/>
      </c>
    </row>
    <row r="39" spans="1:28" s="271" customFormat="1" ht="20.25">
      <c r="A39" s="215"/>
      <c r="B39" s="216" t="str">
        <f>IF(LEN(A39)=0,"",INDEX('Smelter Look-up'!$A:$A,MATCH($A39,'Smelter Look-up'!$E:$E,0)))</f>
        <v/>
      </c>
      <c r="C39" s="220" t="str">
        <f>IF(LEN(A39)=0,"",INDEX('Smelter Look-up'!$C:$C,MATCH($A39,'Smelter Look-up'!$E:$E,0)))</f>
        <v/>
      </c>
      <c r="D39" s="216"/>
      <c r="E39" s="216" t="str">
        <f ca="1">IF(ISERROR($V39),"",OFFSET('Smelter Look-up'!$D$4,$V39-4,0)&amp;"")</f>
        <v/>
      </c>
      <c r="F39" s="216" t="str">
        <f ca="1">IF(ISERROR($V39),"",OFFSET('Smelter Look-up'!$E$4,$V39-4,0))</f>
        <v/>
      </c>
      <c r="G39" s="216" t="str">
        <f ca="1">IF(C39=$X$4,"Enter smelter details", IF(ISERROR($V39),"",OFFSET('Smelter Look-up'!$F$4,$V39-4,0)))</f>
        <v/>
      </c>
      <c r="H39" s="217" t="str">
        <f ca="1">IF(ISERROR($V39),"",OFFSET('Smelter Look-up'!$G$4,$V39-4,0))</f>
        <v/>
      </c>
      <c r="I39" s="218" t="str">
        <f ca="1">IF(ISERROR($V39),"",OFFSET('Smelter Look-up'!$H$4,$V39-4,0))</f>
        <v/>
      </c>
      <c r="J39" s="218" t="str">
        <f ca="1">IF(ISERROR($V39),"",OFFSET('Smelter Look-up'!$I$4,$V39-4,0))</f>
        <v/>
      </c>
      <c r="K39" s="267"/>
      <c r="L39" s="267"/>
      <c r="M39" s="267"/>
      <c r="N39" s="267"/>
      <c r="O39" s="267"/>
      <c r="P39" s="219"/>
      <c r="Q39" s="268"/>
      <c r="R39" s="216" t="str">
        <f ca="1">IF(ISERROR($V39),"",OFFSET('Smelter Look-up'!$C$4,$V39-4,0)&amp;"")</f>
        <v/>
      </c>
      <c r="S39" s="224" t="str">
        <f t="shared" ca="1" si="0"/>
        <v/>
      </c>
      <c r="T39" s="224" t="str">
        <f ca="1">IF(B39="","",IF(ISERROR(MATCH($J39,SorP!$B$1:$B$6230,0)),"",INDIRECT("'SorP'!$A$"&amp;MATCH($J39,SorP!$B$1:$B$6230,0))))</f>
        <v/>
      </c>
      <c r="U39" s="239"/>
      <c r="V39" s="269" t="e">
        <f>IF(C39="",NA(),MATCH($B39&amp;$C39,'Smelter Look-up'!$J:$J,0))</f>
        <v>#N/A</v>
      </c>
      <c r="W39" s="270"/>
      <c r="X39" s="270">
        <f t="shared" ca="1" si="1"/>
        <v>0</v>
      </c>
      <c r="Y39" s="270"/>
      <c r="Z39" s="270"/>
      <c r="AB39" s="272" t="str">
        <f t="shared" si="2"/>
        <v/>
      </c>
    </row>
    <row r="40" spans="1:28" s="271" customFormat="1" ht="20.25">
      <c r="A40" s="215"/>
      <c r="B40" s="216" t="str">
        <f>IF(LEN(A40)=0,"",INDEX('Smelter Look-up'!$A:$A,MATCH($A40,'Smelter Look-up'!$E:$E,0)))</f>
        <v/>
      </c>
      <c r="C40" s="220" t="str">
        <f>IF(LEN(A40)=0,"",INDEX('Smelter Look-up'!$C:$C,MATCH($A40,'Smelter Look-up'!$E:$E,0)))</f>
        <v/>
      </c>
      <c r="D40" s="216"/>
      <c r="E40" s="216" t="str">
        <f ca="1">IF(ISERROR($V40),"",OFFSET('Smelter Look-up'!$D$4,$V40-4,0)&amp;"")</f>
        <v/>
      </c>
      <c r="F40" s="216" t="str">
        <f ca="1">IF(ISERROR($V40),"",OFFSET('Smelter Look-up'!$E$4,$V40-4,0))</f>
        <v/>
      </c>
      <c r="G40" s="216" t="str">
        <f ca="1">IF(C40=$X$4,"Enter smelter details", IF(ISERROR($V40),"",OFFSET('Smelter Look-up'!$F$4,$V40-4,0)))</f>
        <v/>
      </c>
      <c r="H40" s="217" t="str">
        <f ca="1">IF(ISERROR($V40),"",OFFSET('Smelter Look-up'!$G$4,$V40-4,0))</f>
        <v/>
      </c>
      <c r="I40" s="218" t="str">
        <f ca="1">IF(ISERROR($V40),"",OFFSET('Smelter Look-up'!$H$4,$V40-4,0))</f>
        <v/>
      </c>
      <c r="J40" s="218" t="str">
        <f ca="1">IF(ISERROR($V40),"",OFFSET('Smelter Look-up'!$I$4,$V40-4,0))</f>
        <v/>
      </c>
      <c r="K40" s="267"/>
      <c r="L40" s="267"/>
      <c r="M40" s="267"/>
      <c r="N40" s="267"/>
      <c r="O40" s="267"/>
      <c r="P40" s="219"/>
      <c r="Q40" s="268"/>
      <c r="R40" s="216" t="str">
        <f ca="1">IF(ISERROR($V40),"",OFFSET('Smelter Look-up'!$C$4,$V40-4,0)&amp;"")</f>
        <v/>
      </c>
      <c r="S40" s="224" t="str">
        <f t="shared" ca="1" si="0"/>
        <v/>
      </c>
      <c r="T40" s="224" t="str">
        <f ca="1">IF(B40="","",IF(ISERROR(MATCH($J40,SorP!$B$1:$B$6230,0)),"",INDIRECT("'SorP'!$A$"&amp;MATCH($J40,SorP!$B$1:$B$6230,0))))</f>
        <v/>
      </c>
      <c r="U40" s="239"/>
      <c r="V40" s="269" t="e">
        <f>IF(C40="",NA(),MATCH($B40&amp;$C40,'Smelter Look-up'!$J:$J,0))</f>
        <v>#N/A</v>
      </c>
      <c r="W40" s="270"/>
      <c r="X40" s="270">
        <f t="shared" ca="1" si="1"/>
        <v>0</v>
      </c>
      <c r="Y40" s="270"/>
      <c r="Z40" s="270"/>
      <c r="AB40" s="272" t="str">
        <f t="shared" si="2"/>
        <v/>
      </c>
    </row>
    <row r="41" spans="1:28" s="271" customFormat="1" ht="20.25">
      <c r="A41" s="215"/>
      <c r="B41" s="216" t="str">
        <f>IF(LEN(A41)=0,"",INDEX('Smelter Look-up'!$A:$A,MATCH($A41,'Smelter Look-up'!$E:$E,0)))</f>
        <v/>
      </c>
      <c r="C41" s="220" t="str">
        <f>IF(LEN(A41)=0,"",INDEX('Smelter Look-up'!$C:$C,MATCH($A41,'Smelter Look-up'!$E:$E,0)))</f>
        <v/>
      </c>
      <c r="D41" s="216"/>
      <c r="E41" s="216" t="str">
        <f ca="1">IF(ISERROR($V41),"",OFFSET('Smelter Look-up'!$D$4,$V41-4,0)&amp;"")</f>
        <v/>
      </c>
      <c r="F41" s="216" t="str">
        <f ca="1">IF(ISERROR($V41),"",OFFSET('Smelter Look-up'!$E$4,$V41-4,0))</f>
        <v/>
      </c>
      <c r="G41" s="216" t="str">
        <f ca="1">IF(C41=$X$4,"Enter smelter details", IF(ISERROR($V41),"",OFFSET('Smelter Look-up'!$F$4,$V41-4,0)))</f>
        <v/>
      </c>
      <c r="H41" s="217" t="str">
        <f ca="1">IF(ISERROR($V41),"",OFFSET('Smelter Look-up'!$G$4,$V41-4,0))</f>
        <v/>
      </c>
      <c r="I41" s="218" t="str">
        <f ca="1">IF(ISERROR($V41),"",OFFSET('Smelter Look-up'!$H$4,$V41-4,0))</f>
        <v/>
      </c>
      <c r="J41" s="218" t="str">
        <f ca="1">IF(ISERROR($V41),"",OFFSET('Smelter Look-up'!$I$4,$V41-4,0))</f>
        <v/>
      </c>
      <c r="K41" s="267"/>
      <c r="L41" s="267"/>
      <c r="M41" s="267"/>
      <c r="N41" s="267"/>
      <c r="O41" s="267"/>
      <c r="P41" s="219"/>
      <c r="Q41" s="268"/>
      <c r="R41" s="216" t="str">
        <f ca="1">IF(ISERROR($V41),"",OFFSET('Smelter Look-up'!$C$4,$V41-4,0)&amp;"")</f>
        <v/>
      </c>
      <c r="S41" s="224" t="str">
        <f t="shared" ca="1" si="0"/>
        <v/>
      </c>
      <c r="T41" s="224" t="str">
        <f ca="1">IF(B41="","",IF(ISERROR(MATCH($J41,SorP!$B$1:$B$6230,0)),"",INDIRECT("'SorP'!$A$"&amp;MATCH($J41,SorP!$B$1:$B$6230,0))))</f>
        <v/>
      </c>
      <c r="U41" s="239"/>
      <c r="V41" s="269" t="e">
        <f>IF(C41="",NA(),MATCH($B41&amp;$C41,'Smelter Look-up'!$J:$J,0))</f>
        <v>#N/A</v>
      </c>
      <c r="W41" s="270"/>
      <c r="X41" s="270">
        <f t="shared" ca="1" si="1"/>
        <v>0</v>
      </c>
      <c r="Y41" s="270"/>
      <c r="Z41" s="270"/>
      <c r="AB41" s="272" t="str">
        <f t="shared" si="2"/>
        <v/>
      </c>
    </row>
    <row r="42" spans="1:28" s="271" customFormat="1" ht="20.25">
      <c r="A42" s="215"/>
      <c r="B42" s="216" t="str">
        <f>IF(LEN(A42)=0,"",INDEX('Smelter Look-up'!$A:$A,MATCH($A42,'Smelter Look-up'!$E:$E,0)))</f>
        <v/>
      </c>
      <c r="C42" s="220" t="str">
        <f>IF(LEN(A42)=0,"",INDEX('Smelter Look-up'!$C:$C,MATCH($A42,'Smelter Look-up'!$E:$E,0)))</f>
        <v/>
      </c>
      <c r="D42" s="216"/>
      <c r="E42" s="216" t="str">
        <f ca="1">IF(ISERROR($V42),"",OFFSET('Smelter Look-up'!$D$4,$V42-4,0)&amp;"")</f>
        <v/>
      </c>
      <c r="F42" s="216" t="str">
        <f ca="1">IF(ISERROR($V42),"",OFFSET('Smelter Look-up'!$E$4,$V42-4,0))</f>
        <v/>
      </c>
      <c r="G42" s="216" t="str">
        <f ca="1">IF(C42=$X$4,"Enter smelter details", IF(ISERROR($V42),"",OFFSET('Smelter Look-up'!$F$4,$V42-4,0)))</f>
        <v/>
      </c>
      <c r="H42" s="217" t="str">
        <f ca="1">IF(ISERROR($V42),"",OFFSET('Smelter Look-up'!$G$4,$V42-4,0))</f>
        <v/>
      </c>
      <c r="I42" s="218" t="str">
        <f ca="1">IF(ISERROR($V42),"",OFFSET('Smelter Look-up'!$H$4,$V42-4,0))</f>
        <v/>
      </c>
      <c r="J42" s="218" t="str">
        <f ca="1">IF(ISERROR($V42),"",OFFSET('Smelter Look-up'!$I$4,$V42-4,0))</f>
        <v/>
      </c>
      <c r="K42" s="267"/>
      <c r="L42" s="267"/>
      <c r="M42" s="267"/>
      <c r="N42" s="267"/>
      <c r="O42" s="267"/>
      <c r="P42" s="219"/>
      <c r="Q42" s="268"/>
      <c r="R42" s="216" t="str">
        <f ca="1">IF(ISERROR($V42),"",OFFSET('Smelter Look-up'!$C$4,$V42-4,0)&amp;"")</f>
        <v/>
      </c>
      <c r="S42" s="224" t="str">
        <f t="shared" ca="1" si="0"/>
        <v/>
      </c>
      <c r="T42" s="224" t="str">
        <f ca="1">IF(B42="","",IF(ISERROR(MATCH($J42,SorP!$B$1:$B$6230,0)),"",INDIRECT("'SorP'!$A$"&amp;MATCH($J42,SorP!$B$1:$B$6230,0))))</f>
        <v/>
      </c>
      <c r="U42" s="239"/>
      <c r="V42" s="269" t="e">
        <f>IF(C42="",NA(),MATCH($B42&amp;$C42,'Smelter Look-up'!$J:$J,0))</f>
        <v>#N/A</v>
      </c>
      <c r="W42" s="270"/>
      <c r="X42" s="270">
        <f t="shared" ca="1" si="1"/>
        <v>0</v>
      </c>
      <c r="Y42" s="270"/>
      <c r="Z42" s="270"/>
      <c r="AB42" s="272" t="str">
        <f t="shared" si="2"/>
        <v/>
      </c>
    </row>
    <row r="43" spans="1:28" s="271" customFormat="1" ht="20.25">
      <c r="A43" s="215"/>
      <c r="B43" s="216" t="str">
        <f>IF(LEN(A43)=0,"",INDEX('Smelter Look-up'!$A:$A,MATCH($A43,'Smelter Look-up'!$E:$E,0)))</f>
        <v/>
      </c>
      <c r="C43" s="220" t="str">
        <f>IF(LEN(A43)=0,"",INDEX('Smelter Look-up'!$C:$C,MATCH($A43,'Smelter Look-up'!$E:$E,0)))</f>
        <v/>
      </c>
      <c r="D43" s="216"/>
      <c r="E43" s="216" t="str">
        <f ca="1">IF(ISERROR($V43),"",OFFSET('Smelter Look-up'!$D$4,$V43-4,0)&amp;"")</f>
        <v/>
      </c>
      <c r="F43" s="216" t="str">
        <f ca="1">IF(ISERROR($V43),"",OFFSET('Smelter Look-up'!$E$4,$V43-4,0))</f>
        <v/>
      </c>
      <c r="G43" s="216" t="str">
        <f ca="1">IF(C43=$X$4,"Enter smelter details", IF(ISERROR($V43),"",OFFSET('Smelter Look-up'!$F$4,$V43-4,0)))</f>
        <v/>
      </c>
      <c r="H43" s="217" t="str">
        <f ca="1">IF(ISERROR($V43),"",OFFSET('Smelter Look-up'!$G$4,$V43-4,0))</f>
        <v/>
      </c>
      <c r="I43" s="218" t="str">
        <f ca="1">IF(ISERROR($V43),"",OFFSET('Smelter Look-up'!$H$4,$V43-4,0))</f>
        <v/>
      </c>
      <c r="J43" s="218" t="str">
        <f ca="1">IF(ISERROR($V43),"",OFFSET('Smelter Look-up'!$I$4,$V43-4,0))</f>
        <v/>
      </c>
      <c r="K43" s="267"/>
      <c r="L43" s="267"/>
      <c r="M43" s="267"/>
      <c r="N43" s="267"/>
      <c r="O43" s="267"/>
      <c r="P43" s="219"/>
      <c r="Q43" s="268"/>
      <c r="R43" s="216" t="str">
        <f ca="1">IF(ISERROR($V43),"",OFFSET('Smelter Look-up'!$C$4,$V43-4,0)&amp;"")</f>
        <v/>
      </c>
      <c r="S43" s="224" t="str">
        <f t="shared" ca="1" si="0"/>
        <v/>
      </c>
      <c r="T43" s="224" t="str">
        <f ca="1">IF(B43="","",IF(ISERROR(MATCH($J43,SorP!$B$1:$B$6230,0)),"",INDIRECT("'SorP'!$A$"&amp;MATCH($J43,SorP!$B$1:$B$6230,0))))</f>
        <v/>
      </c>
      <c r="U43" s="239"/>
      <c r="V43" s="269" t="e">
        <f>IF(C43="",NA(),MATCH($B43&amp;$C43,'Smelter Look-up'!$J:$J,0))</f>
        <v>#N/A</v>
      </c>
      <c r="W43" s="270"/>
      <c r="X43" s="270">
        <f t="shared" ca="1" si="1"/>
        <v>0</v>
      </c>
      <c r="Y43" s="270"/>
      <c r="Z43" s="270"/>
      <c r="AB43" s="272" t="str">
        <f t="shared" si="2"/>
        <v/>
      </c>
    </row>
    <row r="44" spans="1:28" s="271" customFormat="1" ht="20.25">
      <c r="A44" s="215"/>
      <c r="B44" s="216" t="str">
        <f>IF(LEN(A44)=0,"",INDEX('Smelter Look-up'!$A:$A,MATCH($A44,'Smelter Look-up'!$E:$E,0)))</f>
        <v/>
      </c>
      <c r="C44" s="220" t="str">
        <f>IF(LEN(A44)=0,"",INDEX('Smelter Look-up'!$C:$C,MATCH($A44,'Smelter Look-up'!$E:$E,0)))</f>
        <v/>
      </c>
      <c r="D44" s="216"/>
      <c r="E44" s="216" t="str">
        <f ca="1">IF(ISERROR($V44),"",OFFSET('Smelter Look-up'!$D$4,$V44-4,0)&amp;"")</f>
        <v/>
      </c>
      <c r="F44" s="216" t="str">
        <f ca="1">IF(ISERROR($V44),"",OFFSET('Smelter Look-up'!$E$4,$V44-4,0))</f>
        <v/>
      </c>
      <c r="G44" s="216" t="str">
        <f ca="1">IF(C44=$X$4,"Enter smelter details", IF(ISERROR($V44),"",OFFSET('Smelter Look-up'!$F$4,$V44-4,0)))</f>
        <v/>
      </c>
      <c r="H44" s="217" t="str">
        <f ca="1">IF(ISERROR($V44),"",OFFSET('Smelter Look-up'!$G$4,$V44-4,0))</f>
        <v/>
      </c>
      <c r="I44" s="218" t="str">
        <f ca="1">IF(ISERROR($V44),"",OFFSET('Smelter Look-up'!$H$4,$V44-4,0))</f>
        <v/>
      </c>
      <c r="J44" s="218" t="str">
        <f ca="1">IF(ISERROR($V44),"",OFFSET('Smelter Look-up'!$I$4,$V44-4,0))</f>
        <v/>
      </c>
      <c r="K44" s="267"/>
      <c r="L44" s="267"/>
      <c r="M44" s="267"/>
      <c r="N44" s="267"/>
      <c r="O44" s="267"/>
      <c r="P44" s="219"/>
      <c r="Q44" s="268"/>
      <c r="R44" s="216" t="str">
        <f ca="1">IF(ISERROR($V44),"",OFFSET('Smelter Look-up'!$C$4,$V44-4,0)&amp;"")</f>
        <v/>
      </c>
      <c r="S44" s="224" t="str">
        <f t="shared" ca="1" si="0"/>
        <v/>
      </c>
      <c r="T44" s="224" t="str">
        <f ca="1">IF(B44="","",IF(ISERROR(MATCH($J44,SorP!$B$1:$B$6230,0)),"",INDIRECT("'SorP'!$A$"&amp;MATCH($J44,SorP!$B$1:$B$6230,0))))</f>
        <v/>
      </c>
      <c r="U44" s="239"/>
      <c r="V44" s="269" t="e">
        <f>IF(C44="",NA(),MATCH($B44&amp;$C44,'Smelter Look-up'!$J:$J,0))</f>
        <v>#N/A</v>
      </c>
      <c r="W44" s="270"/>
      <c r="X44" s="270">
        <f t="shared" ca="1" si="1"/>
        <v>0</v>
      </c>
      <c r="Y44" s="270"/>
      <c r="Z44" s="270"/>
      <c r="AB44" s="272" t="str">
        <f t="shared" si="2"/>
        <v/>
      </c>
    </row>
    <row r="45" spans="1:28" s="271" customFormat="1" ht="20.25">
      <c r="A45" s="215"/>
      <c r="B45" s="216" t="str">
        <f>IF(LEN(A45)=0,"",INDEX('Smelter Look-up'!$A:$A,MATCH($A45,'Smelter Look-up'!$E:$E,0)))</f>
        <v/>
      </c>
      <c r="C45" s="220" t="str">
        <f>IF(LEN(A45)=0,"",INDEX('Smelter Look-up'!$C:$C,MATCH($A45,'Smelter Look-up'!$E:$E,0)))</f>
        <v/>
      </c>
      <c r="D45" s="216"/>
      <c r="E45" s="216" t="str">
        <f ca="1">IF(ISERROR($V45),"",OFFSET('Smelter Look-up'!$D$4,$V45-4,0)&amp;"")</f>
        <v/>
      </c>
      <c r="F45" s="216" t="str">
        <f ca="1">IF(ISERROR($V45),"",OFFSET('Smelter Look-up'!$E$4,$V45-4,0))</f>
        <v/>
      </c>
      <c r="G45" s="216" t="str">
        <f ca="1">IF(C45=$X$4,"Enter smelter details", IF(ISERROR($V45),"",OFFSET('Smelter Look-up'!$F$4,$V45-4,0)))</f>
        <v/>
      </c>
      <c r="H45" s="217" t="str">
        <f ca="1">IF(ISERROR($V45),"",OFFSET('Smelter Look-up'!$G$4,$V45-4,0))</f>
        <v/>
      </c>
      <c r="I45" s="218" t="str">
        <f ca="1">IF(ISERROR($V45),"",OFFSET('Smelter Look-up'!$H$4,$V45-4,0))</f>
        <v/>
      </c>
      <c r="J45" s="218" t="str">
        <f ca="1">IF(ISERROR($V45),"",OFFSET('Smelter Look-up'!$I$4,$V45-4,0))</f>
        <v/>
      </c>
      <c r="K45" s="267"/>
      <c r="L45" s="267"/>
      <c r="M45" s="267"/>
      <c r="N45" s="267"/>
      <c r="O45" s="267"/>
      <c r="P45" s="219"/>
      <c r="Q45" s="268"/>
      <c r="R45" s="216" t="str">
        <f ca="1">IF(ISERROR($V45),"",OFFSET('Smelter Look-up'!$C$4,$V45-4,0)&amp;"")</f>
        <v/>
      </c>
      <c r="S45" s="224" t="str">
        <f t="shared" ca="1" si="0"/>
        <v/>
      </c>
      <c r="T45" s="224" t="str">
        <f ca="1">IF(B45="","",IF(ISERROR(MATCH($J45,SorP!$B$1:$B$6230,0)),"",INDIRECT("'SorP'!$A$"&amp;MATCH($J45,SorP!$B$1:$B$6230,0))))</f>
        <v/>
      </c>
      <c r="U45" s="239"/>
      <c r="V45" s="269" t="e">
        <f>IF(C45="",NA(),MATCH($B45&amp;$C45,'Smelter Look-up'!$J:$J,0))</f>
        <v>#N/A</v>
      </c>
      <c r="W45" s="270"/>
      <c r="X45" s="270">
        <f t="shared" ca="1" si="1"/>
        <v>0</v>
      </c>
      <c r="Y45" s="270"/>
      <c r="Z45" s="270"/>
      <c r="AB45" s="272" t="str">
        <f t="shared" si="2"/>
        <v/>
      </c>
    </row>
    <row r="46" spans="1:28" s="271" customFormat="1" ht="20.25">
      <c r="A46" s="215"/>
      <c r="B46" s="216" t="str">
        <f>IF(LEN(A46)=0,"",INDEX('Smelter Look-up'!$A:$A,MATCH($A46,'Smelter Look-up'!$E:$E,0)))</f>
        <v/>
      </c>
      <c r="C46" s="220" t="str">
        <f>IF(LEN(A46)=0,"",INDEX('Smelter Look-up'!$C:$C,MATCH($A46,'Smelter Look-up'!$E:$E,0)))</f>
        <v/>
      </c>
      <c r="D46" s="216"/>
      <c r="E46" s="216" t="str">
        <f ca="1">IF(ISERROR($V46),"",OFFSET('Smelter Look-up'!$D$4,$V46-4,0)&amp;"")</f>
        <v/>
      </c>
      <c r="F46" s="216" t="str">
        <f ca="1">IF(ISERROR($V46),"",OFFSET('Smelter Look-up'!$E$4,$V46-4,0))</f>
        <v/>
      </c>
      <c r="G46" s="216" t="str">
        <f ca="1">IF(C46=$X$4,"Enter smelter details", IF(ISERROR($V46),"",OFFSET('Smelter Look-up'!$F$4,$V46-4,0)))</f>
        <v/>
      </c>
      <c r="H46" s="217" t="str">
        <f ca="1">IF(ISERROR($V46),"",OFFSET('Smelter Look-up'!$G$4,$V46-4,0))</f>
        <v/>
      </c>
      <c r="I46" s="218" t="str">
        <f ca="1">IF(ISERROR($V46),"",OFFSET('Smelter Look-up'!$H$4,$V46-4,0))</f>
        <v/>
      </c>
      <c r="J46" s="218" t="str">
        <f ca="1">IF(ISERROR($V46),"",OFFSET('Smelter Look-up'!$I$4,$V46-4,0))</f>
        <v/>
      </c>
      <c r="K46" s="267"/>
      <c r="L46" s="267"/>
      <c r="M46" s="267"/>
      <c r="N46" s="267"/>
      <c r="O46" s="267"/>
      <c r="P46" s="219"/>
      <c r="Q46" s="268"/>
      <c r="R46" s="216" t="str">
        <f ca="1">IF(ISERROR($V46),"",OFFSET('Smelter Look-up'!$C$4,$V46-4,0)&amp;"")</f>
        <v/>
      </c>
      <c r="S46" s="224" t="str">
        <f t="shared" ca="1" si="0"/>
        <v/>
      </c>
      <c r="T46" s="224" t="str">
        <f ca="1">IF(B46="","",IF(ISERROR(MATCH($J46,SorP!$B$1:$B$6230,0)),"",INDIRECT("'SorP'!$A$"&amp;MATCH($J46,SorP!$B$1:$B$6230,0))))</f>
        <v/>
      </c>
      <c r="U46" s="239"/>
      <c r="V46" s="269" t="e">
        <f>IF(C46="",NA(),MATCH($B46&amp;$C46,'Smelter Look-up'!$J:$J,0))</f>
        <v>#N/A</v>
      </c>
      <c r="W46" s="270"/>
      <c r="X46" s="270">
        <f t="shared" ca="1" si="1"/>
        <v>0</v>
      </c>
      <c r="Y46" s="270"/>
      <c r="Z46" s="270"/>
      <c r="AB46" s="272" t="str">
        <f t="shared" si="2"/>
        <v/>
      </c>
    </row>
    <row r="47" spans="1:28" s="271" customFormat="1" ht="20.25">
      <c r="A47" s="215"/>
      <c r="B47" s="216" t="str">
        <f>IF(LEN(A47)=0,"",INDEX('Smelter Look-up'!$A:$A,MATCH($A47,'Smelter Look-up'!$E:$E,0)))</f>
        <v/>
      </c>
      <c r="C47" s="220" t="str">
        <f>IF(LEN(A47)=0,"",INDEX('Smelter Look-up'!$C:$C,MATCH($A47,'Smelter Look-up'!$E:$E,0)))</f>
        <v/>
      </c>
      <c r="D47" s="216"/>
      <c r="E47" s="216" t="str">
        <f ca="1">IF(ISERROR($V47),"",OFFSET('Smelter Look-up'!$D$4,$V47-4,0)&amp;"")</f>
        <v/>
      </c>
      <c r="F47" s="216" t="str">
        <f ca="1">IF(ISERROR($V47),"",OFFSET('Smelter Look-up'!$E$4,$V47-4,0))</f>
        <v/>
      </c>
      <c r="G47" s="216" t="str">
        <f ca="1">IF(C47=$X$4,"Enter smelter details", IF(ISERROR($V47),"",OFFSET('Smelter Look-up'!$F$4,$V47-4,0)))</f>
        <v/>
      </c>
      <c r="H47" s="217" t="str">
        <f ca="1">IF(ISERROR($V47),"",OFFSET('Smelter Look-up'!$G$4,$V47-4,0))</f>
        <v/>
      </c>
      <c r="I47" s="218" t="str">
        <f ca="1">IF(ISERROR($V47),"",OFFSET('Smelter Look-up'!$H$4,$V47-4,0))</f>
        <v/>
      </c>
      <c r="J47" s="218" t="str">
        <f ca="1">IF(ISERROR($V47),"",OFFSET('Smelter Look-up'!$I$4,$V47-4,0))</f>
        <v/>
      </c>
      <c r="K47" s="267"/>
      <c r="L47" s="267"/>
      <c r="M47" s="267"/>
      <c r="N47" s="267"/>
      <c r="O47" s="267"/>
      <c r="P47" s="219"/>
      <c r="Q47" s="268"/>
      <c r="R47" s="216" t="str">
        <f ca="1">IF(ISERROR($V47),"",OFFSET('Smelter Look-up'!$C$4,$V47-4,0)&amp;"")</f>
        <v/>
      </c>
      <c r="S47" s="224" t="str">
        <f t="shared" ca="1" si="0"/>
        <v/>
      </c>
      <c r="T47" s="224" t="str">
        <f ca="1">IF(B47="","",IF(ISERROR(MATCH($J47,SorP!$B$1:$B$6230,0)),"",INDIRECT("'SorP'!$A$"&amp;MATCH($J47,SorP!$B$1:$B$6230,0))))</f>
        <v/>
      </c>
      <c r="U47" s="239"/>
      <c r="V47" s="269" t="e">
        <f>IF(C47="",NA(),MATCH($B47&amp;$C47,'Smelter Look-up'!$J:$J,0))</f>
        <v>#N/A</v>
      </c>
      <c r="W47" s="270"/>
      <c r="X47" s="270">
        <f t="shared" ca="1" si="1"/>
        <v>0</v>
      </c>
      <c r="Y47" s="270"/>
      <c r="Z47" s="270"/>
      <c r="AB47" s="272" t="str">
        <f t="shared" si="2"/>
        <v/>
      </c>
    </row>
    <row r="48" spans="1:28" s="271" customFormat="1" ht="20.25">
      <c r="A48" s="215"/>
      <c r="B48" s="216" t="str">
        <f>IF(LEN(A48)=0,"",INDEX('Smelter Look-up'!$A:$A,MATCH($A48,'Smelter Look-up'!$E:$E,0)))</f>
        <v/>
      </c>
      <c r="C48" s="220" t="str">
        <f>IF(LEN(A48)=0,"",INDEX('Smelter Look-up'!$C:$C,MATCH($A48,'Smelter Look-up'!$E:$E,0)))</f>
        <v/>
      </c>
      <c r="D48" s="216"/>
      <c r="E48" s="216" t="str">
        <f ca="1">IF(ISERROR($V48),"",OFFSET('Smelter Look-up'!$D$4,$V48-4,0)&amp;"")</f>
        <v/>
      </c>
      <c r="F48" s="216" t="str">
        <f ca="1">IF(ISERROR($V48),"",OFFSET('Smelter Look-up'!$E$4,$V48-4,0))</f>
        <v/>
      </c>
      <c r="G48" s="216" t="str">
        <f ca="1">IF(C48=$X$4,"Enter smelter details", IF(ISERROR($V48),"",OFFSET('Smelter Look-up'!$F$4,$V48-4,0)))</f>
        <v/>
      </c>
      <c r="H48" s="217" t="str">
        <f ca="1">IF(ISERROR($V48),"",OFFSET('Smelter Look-up'!$G$4,$V48-4,0))</f>
        <v/>
      </c>
      <c r="I48" s="218" t="str">
        <f ca="1">IF(ISERROR($V48),"",OFFSET('Smelter Look-up'!$H$4,$V48-4,0))</f>
        <v/>
      </c>
      <c r="J48" s="218" t="str">
        <f ca="1">IF(ISERROR($V48),"",OFFSET('Smelter Look-up'!$I$4,$V48-4,0))</f>
        <v/>
      </c>
      <c r="K48" s="267"/>
      <c r="L48" s="267"/>
      <c r="M48" s="267"/>
      <c r="N48" s="267"/>
      <c r="O48" s="267"/>
      <c r="P48" s="219"/>
      <c r="Q48" s="268"/>
      <c r="R48" s="216" t="str">
        <f ca="1">IF(ISERROR($V48),"",OFFSET('Smelter Look-up'!$C$4,$V48-4,0)&amp;"")</f>
        <v/>
      </c>
      <c r="S48" s="224" t="str">
        <f t="shared" ca="1" si="0"/>
        <v/>
      </c>
      <c r="T48" s="224" t="str">
        <f ca="1">IF(B48="","",IF(ISERROR(MATCH($J48,SorP!$B$1:$B$6230,0)),"",INDIRECT("'SorP'!$A$"&amp;MATCH($J48,SorP!$B$1:$B$6230,0))))</f>
        <v/>
      </c>
      <c r="U48" s="239"/>
      <c r="V48" s="269" t="e">
        <f>IF(C48="",NA(),MATCH($B48&amp;$C48,'Smelter Look-up'!$J:$J,0))</f>
        <v>#N/A</v>
      </c>
      <c r="W48" s="270"/>
      <c r="X48" s="270">
        <f t="shared" ca="1" si="1"/>
        <v>0</v>
      </c>
      <c r="Y48" s="270"/>
      <c r="Z48" s="270"/>
      <c r="AB48" s="272" t="str">
        <f t="shared" si="2"/>
        <v/>
      </c>
    </row>
    <row r="49" spans="1:28" s="271" customFormat="1" ht="20.25">
      <c r="A49" s="215"/>
      <c r="B49" s="216" t="str">
        <f>IF(LEN(A49)=0,"",INDEX('Smelter Look-up'!$A:$A,MATCH($A49,'Smelter Look-up'!$E:$E,0)))</f>
        <v/>
      </c>
      <c r="C49" s="220" t="str">
        <f>IF(LEN(A49)=0,"",INDEX('Smelter Look-up'!$C:$C,MATCH($A49,'Smelter Look-up'!$E:$E,0)))</f>
        <v/>
      </c>
      <c r="D49" s="216"/>
      <c r="E49" s="216" t="str">
        <f ca="1">IF(ISERROR($V49),"",OFFSET('Smelter Look-up'!$D$4,$V49-4,0)&amp;"")</f>
        <v/>
      </c>
      <c r="F49" s="216" t="str">
        <f ca="1">IF(ISERROR($V49),"",OFFSET('Smelter Look-up'!$E$4,$V49-4,0))</f>
        <v/>
      </c>
      <c r="G49" s="216" t="str">
        <f ca="1">IF(C49=$X$4,"Enter smelter details", IF(ISERROR($V49),"",OFFSET('Smelter Look-up'!$F$4,$V49-4,0)))</f>
        <v/>
      </c>
      <c r="H49" s="217" t="str">
        <f ca="1">IF(ISERROR($V49),"",OFFSET('Smelter Look-up'!$G$4,$V49-4,0))</f>
        <v/>
      </c>
      <c r="I49" s="218" t="str">
        <f ca="1">IF(ISERROR($V49),"",OFFSET('Smelter Look-up'!$H$4,$V49-4,0))</f>
        <v/>
      </c>
      <c r="J49" s="218" t="str">
        <f ca="1">IF(ISERROR($V49),"",OFFSET('Smelter Look-up'!$I$4,$V49-4,0))</f>
        <v/>
      </c>
      <c r="K49" s="267"/>
      <c r="L49" s="267"/>
      <c r="M49" s="267"/>
      <c r="N49" s="267"/>
      <c r="O49" s="267"/>
      <c r="P49" s="219"/>
      <c r="Q49" s="268"/>
      <c r="R49" s="216" t="str">
        <f ca="1">IF(ISERROR($V49),"",OFFSET('Smelter Look-up'!$C$4,$V49-4,0)&amp;"")</f>
        <v/>
      </c>
      <c r="S49" s="224" t="str">
        <f t="shared" ca="1" si="0"/>
        <v/>
      </c>
      <c r="T49" s="224" t="str">
        <f ca="1">IF(B49="","",IF(ISERROR(MATCH($J49,SorP!$B$1:$B$6230,0)),"",INDIRECT("'SorP'!$A$"&amp;MATCH($J49,SorP!$B$1:$B$6230,0))))</f>
        <v/>
      </c>
      <c r="U49" s="239"/>
      <c r="V49" s="269" t="e">
        <f>IF(C49="",NA(),MATCH($B49&amp;$C49,'Smelter Look-up'!$J:$J,0))</f>
        <v>#N/A</v>
      </c>
      <c r="W49" s="270"/>
      <c r="X49" s="270">
        <f t="shared" ca="1" si="1"/>
        <v>0</v>
      </c>
      <c r="Y49" s="270"/>
      <c r="Z49" s="270"/>
      <c r="AB49" s="272" t="str">
        <f t="shared" si="2"/>
        <v/>
      </c>
    </row>
    <row r="50" spans="1:28" s="271" customFormat="1" ht="20.25">
      <c r="A50" s="215"/>
      <c r="B50" s="216" t="str">
        <f>IF(LEN(A50)=0,"",INDEX('Smelter Look-up'!$A:$A,MATCH($A50,'Smelter Look-up'!$E:$E,0)))</f>
        <v/>
      </c>
      <c r="C50" s="220" t="str">
        <f>IF(LEN(A50)=0,"",INDEX('Smelter Look-up'!$C:$C,MATCH($A50,'Smelter Look-up'!$E:$E,0)))</f>
        <v/>
      </c>
      <c r="D50" s="216"/>
      <c r="E50" s="216" t="str">
        <f ca="1">IF(ISERROR($V50),"",OFFSET('Smelter Look-up'!$D$4,$V50-4,0)&amp;"")</f>
        <v/>
      </c>
      <c r="F50" s="216" t="str">
        <f ca="1">IF(ISERROR($V50),"",OFFSET('Smelter Look-up'!$E$4,$V50-4,0))</f>
        <v/>
      </c>
      <c r="G50" s="216" t="str">
        <f ca="1">IF(C50=$X$4,"Enter smelter details", IF(ISERROR($V50),"",OFFSET('Smelter Look-up'!$F$4,$V50-4,0)))</f>
        <v/>
      </c>
      <c r="H50" s="217" t="str">
        <f ca="1">IF(ISERROR($V50),"",OFFSET('Smelter Look-up'!$G$4,$V50-4,0))</f>
        <v/>
      </c>
      <c r="I50" s="218" t="str">
        <f ca="1">IF(ISERROR($V50),"",OFFSET('Smelter Look-up'!$H$4,$V50-4,0))</f>
        <v/>
      </c>
      <c r="J50" s="218" t="str">
        <f ca="1">IF(ISERROR($V50),"",OFFSET('Smelter Look-up'!$I$4,$V50-4,0))</f>
        <v/>
      </c>
      <c r="K50" s="267"/>
      <c r="L50" s="267"/>
      <c r="M50" s="267"/>
      <c r="N50" s="267"/>
      <c r="O50" s="267"/>
      <c r="P50" s="219"/>
      <c r="Q50" s="268"/>
      <c r="R50" s="216" t="str">
        <f ca="1">IF(ISERROR($V50),"",OFFSET('Smelter Look-up'!$C$4,$V50-4,0)&amp;"")</f>
        <v/>
      </c>
      <c r="S50" s="224" t="str">
        <f t="shared" ca="1" si="0"/>
        <v/>
      </c>
      <c r="T50" s="224" t="str">
        <f ca="1">IF(B50="","",IF(ISERROR(MATCH($J50,SorP!$B$1:$B$6230,0)),"",INDIRECT("'SorP'!$A$"&amp;MATCH($J50,SorP!$B$1:$B$6230,0))))</f>
        <v/>
      </c>
      <c r="U50" s="239"/>
      <c r="V50" s="269" t="e">
        <f>IF(C50="",NA(),MATCH($B50&amp;$C50,'Smelter Look-up'!$J:$J,0))</f>
        <v>#N/A</v>
      </c>
      <c r="W50" s="270"/>
      <c r="X50" s="270">
        <f t="shared" ca="1" si="1"/>
        <v>0</v>
      </c>
      <c r="Y50" s="270"/>
      <c r="Z50" s="270"/>
      <c r="AB50" s="272" t="str">
        <f t="shared" si="2"/>
        <v/>
      </c>
    </row>
    <row r="51" spans="1:28" s="271" customFormat="1" ht="20.25">
      <c r="A51" s="215"/>
      <c r="B51" s="216" t="str">
        <f>IF(LEN(A51)=0,"",INDEX('Smelter Look-up'!$A:$A,MATCH($A51,'Smelter Look-up'!$E:$E,0)))</f>
        <v/>
      </c>
      <c r="C51" s="220" t="str">
        <f>IF(LEN(A51)=0,"",INDEX('Smelter Look-up'!$C:$C,MATCH($A51,'Smelter Look-up'!$E:$E,0)))</f>
        <v/>
      </c>
      <c r="D51" s="216"/>
      <c r="E51" s="216" t="str">
        <f ca="1">IF(ISERROR($V51),"",OFFSET('Smelter Look-up'!$D$4,$V51-4,0)&amp;"")</f>
        <v/>
      </c>
      <c r="F51" s="216" t="str">
        <f ca="1">IF(ISERROR($V51),"",OFFSET('Smelter Look-up'!$E$4,$V51-4,0))</f>
        <v/>
      </c>
      <c r="G51" s="216" t="str">
        <f ca="1">IF(C51=$X$4,"Enter smelter details", IF(ISERROR($V51),"",OFFSET('Smelter Look-up'!$F$4,$V51-4,0)))</f>
        <v/>
      </c>
      <c r="H51" s="217" t="str">
        <f ca="1">IF(ISERROR($V51),"",OFFSET('Smelter Look-up'!$G$4,$V51-4,0))</f>
        <v/>
      </c>
      <c r="I51" s="218" t="str">
        <f ca="1">IF(ISERROR($V51),"",OFFSET('Smelter Look-up'!$H$4,$V51-4,0))</f>
        <v/>
      </c>
      <c r="J51" s="218" t="str">
        <f ca="1">IF(ISERROR($V51),"",OFFSET('Smelter Look-up'!$I$4,$V51-4,0))</f>
        <v/>
      </c>
      <c r="K51" s="267"/>
      <c r="L51" s="267"/>
      <c r="M51" s="267"/>
      <c r="N51" s="267"/>
      <c r="O51" s="267"/>
      <c r="P51" s="219"/>
      <c r="Q51" s="268"/>
      <c r="R51" s="216" t="str">
        <f ca="1">IF(ISERROR($V51),"",OFFSET('Smelter Look-up'!$C$4,$V51-4,0)&amp;"")</f>
        <v/>
      </c>
      <c r="S51" s="224" t="str">
        <f t="shared" ca="1" si="0"/>
        <v/>
      </c>
      <c r="T51" s="224" t="str">
        <f ca="1">IF(B51="","",IF(ISERROR(MATCH($J51,SorP!$B$1:$B$6230,0)),"",INDIRECT("'SorP'!$A$"&amp;MATCH($J51,SorP!$B$1:$B$6230,0))))</f>
        <v/>
      </c>
      <c r="U51" s="239"/>
      <c r="V51" s="269" t="e">
        <f>IF(C51="",NA(),MATCH($B51&amp;$C51,'Smelter Look-up'!$J:$J,0))</f>
        <v>#N/A</v>
      </c>
      <c r="W51" s="270"/>
      <c r="X51" s="270">
        <f t="shared" ca="1" si="1"/>
        <v>0</v>
      </c>
      <c r="Y51" s="270"/>
      <c r="Z51" s="270"/>
      <c r="AB51" s="272" t="str">
        <f t="shared" si="2"/>
        <v/>
      </c>
    </row>
    <row r="52" spans="1:28" s="271" customFormat="1" ht="20.25">
      <c r="A52" s="215"/>
      <c r="B52" s="216" t="str">
        <f>IF(LEN(A52)=0,"",INDEX('Smelter Look-up'!$A:$A,MATCH($A52,'Smelter Look-up'!$E:$E,0)))</f>
        <v/>
      </c>
      <c r="C52" s="220" t="str">
        <f>IF(LEN(A52)=0,"",INDEX('Smelter Look-up'!$C:$C,MATCH($A52,'Smelter Look-up'!$E:$E,0)))</f>
        <v/>
      </c>
      <c r="D52" s="216"/>
      <c r="E52" s="216" t="str">
        <f ca="1">IF(ISERROR($V52),"",OFFSET('Smelter Look-up'!$D$4,$V52-4,0)&amp;"")</f>
        <v/>
      </c>
      <c r="F52" s="216" t="str">
        <f ca="1">IF(ISERROR($V52),"",OFFSET('Smelter Look-up'!$E$4,$V52-4,0))</f>
        <v/>
      </c>
      <c r="G52" s="216" t="str">
        <f ca="1">IF(C52=$X$4,"Enter smelter details", IF(ISERROR($V52),"",OFFSET('Smelter Look-up'!$F$4,$V52-4,0)))</f>
        <v/>
      </c>
      <c r="H52" s="217" t="str">
        <f ca="1">IF(ISERROR($V52),"",OFFSET('Smelter Look-up'!$G$4,$V52-4,0))</f>
        <v/>
      </c>
      <c r="I52" s="218" t="str">
        <f ca="1">IF(ISERROR($V52),"",OFFSET('Smelter Look-up'!$H$4,$V52-4,0))</f>
        <v/>
      </c>
      <c r="J52" s="218" t="str">
        <f ca="1">IF(ISERROR($V52),"",OFFSET('Smelter Look-up'!$I$4,$V52-4,0))</f>
        <v/>
      </c>
      <c r="K52" s="267"/>
      <c r="L52" s="267"/>
      <c r="M52" s="267"/>
      <c r="N52" s="267"/>
      <c r="O52" s="267"/>
      <c r="P52" s="219"/>
      <c r="Q52" s="268"/>
      <c r="R52" s="216" t="str">
        <f ca="1">IF(ISERROR($V52),"",OFFSET('Smelter Look-up'!$C$4,$V52-4,0)&amp;"")</f>
        <v/>
      </c>
      <c r="S52" s="224" t="str">
        <f t="shared" ca="1" si="0"/>
        <v/>
      </c>
      <c r="T52" s="224" t="str">
        <f ca="1">IF(B52="","",IF(ISERROR(MATCH($J52,SorP!$B$1:$B$6230,0)),"",INDIRECT("'SorP'!$A$"&amp;MATCH($J52,SorP!$B$1:$B$6230,0))))</f>
        <v/>
      </c>
      <c r="U52" s="239"/>
      <c r="V52" s="269" t="e">
        <f>IF(C52="",NA(),MATCH($B52&amp;$C52,'Smelter Look-up'!$J:$J,0))</f>
        <v>#N/A</v>
      </c>
      <c r="W52" s="270"/>
      <c r="X52" s="270">
        <f t="shared" ca="1" si="1"/>
        <v>0</v>
      </c>
      <c r="Y52" s="270"/>
      <c r="Z52" s="270"/>
      <c r="AB52" s="272" t="str">
        <f t="shared" si="2"/>
        <v/>
      </c>
    </row>
    <row r="53" spans="1:28" s="271" customFormat="1" ht="20.25">
      <c r="A53" s="215"/>
      <c r="B53" s="216" t="str">
        <f>IF(LEN(A53)=0,"",INDEX('Smelter Look-up'!$A:$A,MATCH($A53,'Smelter Look-up'!$E:$E,0)))</f>
        <v/>
      </c>
      <c r="C53" s="220" t="str">
        <f>IF(LEN(A53)=0,"",INDEX('Smelter Look-up'!$C:$C,MATCH($A53,'Smelter Look-up'!$E:$E,0)))</f>
        <v/>
      </c>
      <c r="D53" s="216"/>
      <c r="E53" s="216" t="str">
        <f ca="1">IF(ISERROR($V53),"",OFFSET('Smelter Look-up'!$D$4,$V53-4,0)&amp;"")</f>
        <v/>
      </c>
      <c r="F53" s="216" t="str">
        <f ca="1">IF(ISERROR($V53),"",OFFSET('Smelter Look-up'!$E$4,$V53-4,0))</f>
        <v/>
      </c>
      <c r="G53" s="216" t="str">
        <f ca="1">IF(C53=$X$4,"Enter smelter details", IF(ISERROR($V53),"",OFFSET('Smelter Look-up'!$F$4,$V53-4,0)))</f>
        <v/>
      </c>
      <c r="H53" s="217" t="str">
        <f ca="1">IF(ISERROR($V53),"",OFFSET('Smelter Look-up'!$G$4,$V53-4,0))</f>
        <v/>
      </c>
      <c r="I53" s="218" t="str">
        <f ca="1">IF(ISERROR($V53),"",OFFSET('Smelter Look-up'!$H$4,$V53-4,0))</f>
        <v/>
      </c>
      <c r="J53" s="218" t="str">
        <f ca="1">IF(ISERROR($V53),"",OFFSET('Smelter Look-up'!$I$4,$V53-4,0))</f>
        <v/>
      </c>
      <c r="K53" s="267"/>
      <c r="L53" s="267"/>
      <c r="M53" s="267"/>
      <c r="N53" s="267"/>
      <c r="O53" s="267"/>
      <c r="P53" s="219"/>
      <c r="Q53" s="268"/>
      <c r="R53" s="216" t="str">
        <f ca="1">IF(ISERROR($V53),"",OFFSET('Smelter Look-up'!$C$4,$V53-4,0)&amp;"")</f>
        <v/>
      </c>
      <c r="S53" s="224" t="str">
        <f t="shared" ca="1" si="0"/>
        <v/>
      </c>
      <c r="T53" s="224" t="str">
        <f ca="1">IF(B53="","",IF(ISERROR(MATCH($J53,SorP!$B$1:$B$6230,0)),"",INDIRECT("'SorP'!$A$"&amp;MATCH($J53,SorP!$B$1:$B$6230,0))))</f>
        <v/>
      </c>
      <c r="U53" s="239"/>
      <c r="V53" s="269" t="e">
        <f>IF(C53="",NA(),MATCH($B53&amp;$C53,'Smelter Look-up'!$J:$J,0))</f>
        <v>#N/A</v>
      </c>
      <c r="W53" s="270"/>
      <c r="X53" s="270">
        <f t="shared" ca="1" si="1"/>
        <v>0</v>
      </c>
      <c r="Y53" s="270"/>
      <c r="Z53" s="270"/>
      <c r="AB53" s="272" t="str">
        <f t="shared" si="2"/>
        <v/>
      </c>
    </row>
    <row r="54" spans="1:28" s="271" customFormat="1" ht="20.25">
      <c r="A54" s="215"/>
      <c r="B54" s="216" t="str">
        <f>IF(LEN(A54)=0,"",INDEX('Smelter Look-up'!$A:$A,MATCH($A54,'Smelter Look-up'!$E:$E,0)))</f>
        <v/>
      </c>
      <c r="C54" s="220" t="str">
        <f>IF(LEN(A54)=0,"",INDEX('Smelter Look-up'!$C:$C,MATCH($A54,'Smelter Look-up'!$E:$E,0)))</f>
        <v/>
      </c>
      <c r="D54" s="216"/>
      <c r="E54" s="216" t="str">
        <f ca="1">IF(ISERROR($V54),"",OFFSET('Smelter Look-up'!$D$4,$V54-4,0)&amp;"")</f>
        <v/>
      </c>
      <c r="F54" s="216" t="str">
        <f ca="1">IF(ISERROR($V54),"",OFFSET('Smelter Look-up'!$E$4,$V54-4,0))</f>
        <v/>
      </c>
      <c r="G54" s="216" t="str">
        <f ca="1">IF(C54=$X$4,"Enter smelter details", IF(ISERROR($V54),"",OFFSET('Smelter Look-up'!$F$4,$V54-4,0)))</f>
        <v/>
      </c>
      <c r="H54" s="217" t="str">
        <f ca="1">IF(ISERROR($V54),"",OFFSET('Smelter Look-up'!$G$4,$V54-4,0))</f>
        <v/>
      </c>
      <c r="I54" s="218" t="str">
        <f ca="1">IF(ISERROR($V54),"",OFFSET('Smelter Look-up'!$H$4,$V54-4,0))</f>
        <v/>
      </c>
      <c r="J54" s="218" t="str">
        <f ca="1">IF(ISERROR($V54),"",OFFSET('Smelter Look-up'!$I$4,$V54-4,0))</f>
        <v/>
      </c>
      <c r="K54" s="267"/>
      <c r="L54" s="267"/>
      <c r="M54" s="267"/>
      <c r="N54" s="267"/>
      <c r="O54" s="267"/>
      <c r="P54" s="219"/>
      <c r="Q54" s="268"/>
      <c r="R54" s="216" t="str">
        <f ca="1">IF(ISERROR($V54),"",OFFSET('Smelter Look-up'!$C$4,$V54-4,0)&amp;"")</f>
        <v/>
      </c>
      <c r="S54" s="224" t="str">
        <f t="shared" ca="1" si="0"/>
        <v/>
      </c>
      <c r="T54" s="224" t="str">
        <f ca="1">IF(B54="","",IF(ISERROR(MATCH($J54,SorP!$B$1:$B$6230,0)),"",INDIRECT("'SorP'!$A$"&amp;MATCH($J54,SorP!$B$1:$B$6230,0))))</f>
        <v/>
      </c>
      <c r="U54" s="239"/>
      <c r="V54" s="269" t="e">
        <f>IF(C54="",NA(),MATCH($B54&amp;$C54,'Smelter Look-up'!$J:$J,0))</f>
        <v>#N/A</v>
      </c>
      <c r="W54" s="270"/>
      <c r="X54" s="270">
        <f t="shared" ca="1" si="1"/>
        <v>0</v>
      </c>
      <c r="Y54" s="270"/>
      <c r="Z54" s="270"/>
      <c r="AB54" s="272" t="str">
        <f t="shared" si="2"/>
        <v/>
      </c>
    </row>
    <row r="55" spans="1:28" s="271" customFormat="1" ht="20.25">
      <c r="A55" s="215"/>
      <c r="B55" s="216" t="str">
        <f>IF(LEN(A55)=0,"",INDEX('Smelter Look-up'!$A:$A,MATCH($A55,'Smelter Look-up'!$E:$E,0)))</f>
        <v/>
      </c>
      <c r="C55" s="220" t="str">
        <f>IF(LEN(A55)=0,"",INDEX('Smelter Look-up'!$C:$C,MATCH($A55,'Smelter Look-up'!$E:$E,0)))</f>
        <v/>
      </c>
      <c r="D55" s="216"/>
      <c r="E55" s="216" t="str">
        <f ca="1">IF(ISERROR($V55),"",OFFSET('Smelter Look-up'!$D$4,$V55-4,0)&amp;"")</f>
        <v/>
      </c>
      <c r="F55" s="216" t="str">
        <f ca="1">IF(ISERROR($V55),"",OFFSET('Smelter Look-up'!$E$4,$V55-4,0))</f>
        <v/>
      </c>
      <c r="G55" s="216" t="str">
        <f ca="1">IF(C55=$X$4,"Enter smelter details", IF(ISERROR($V55),"",OFFSET('Smelter Look-up'!$F$4,$V55-4,0)))</f>
        <v/>
      </c>
      <c r="H55" s="217" t="str">
        <f ca="1">IF(ISERROR($V55),"",OFFSET('Smelter Look-up'!$G$4,$V55-4,0))</f>
        <v/>
      </c>
      <c r="I55" s="218" t="str">
        <f ca="1">IF(ISERROR($V55),"",OFFSET('Smelter Look-up'!$H$4,$V55-4,0))</f>
        <v/>
      </c>
      <c r="J55" s="218" t="str">
        <f ca="1">IF(ISERROR($V55),"",OFFSET('Smelter Look-up'!$I$4,$V55-4,0))</f>
        <v/>
      </c>
      <c r="K55" s="267"/>
      <c r="L55" s="267"/>
      <c r="M55" s="267"/>
      <c r="N55" s="267"/>
      <c r="O55" s="267"/>
      <c r="P55" s="219"/>
      <c r="Q55" s="268"/>
      <c r="R55" s="216" t="str">
        <f ca="1">IF(ISERROR($V55),"",OFFSET('Smelter Look-up'!$C$4,$V55-4,0)&amp;"")</f>
        <v/>
      </c>
      <c r="S55" s="224" t="str">
        <f t="shared" ca="1" si="0"/>
        <v/>
      </c>
      <c r="T55" s="224" t="str">
        <f ca="1">IF(B55="","",IF(ISERROR(MATCH($J55,SorP!$B$1:$B$6230,0)),"",INDIRECT("'SorP'!$A$"&amp;MATCH($J55,SorP!$B$1:$B$6230,0))))</f>
        <v/>
      </c>
      <c r="U55" s="239"/>
      <c r="V55" s="269" t="e">
        <f>IF(C55="",NA(),MATCH($B55&amp;$C55,'Smelter Look-up'!$J:$J,0))</f>
        <v>#N/A</v>
      </c>
      <c r="W55" s="270"/>
      <c r="X55" s="270">
        <f t="shared" ca="1" si="1"/>
        <v>0</v>
      </c>
      <c r="Y55" s="270"/>
      <c r="Z55" s="270"/>
      <c r="AB55" s="272" t="str">
        <f t="shared" si="2"/>
        <v/>
      </c>
    </row>
    <row r="56" spans="1:28" s="271" customFormat="1" ht="20.25">
      <c r="A56" s="215"/>
      <c r="B56" s="216" t="str">
        <f>IF(LEN(A56)=0,"",INDEX('Smelter Look-up'!$A:$A,MATCH($A56,'Smelter Look-up'!$E:$E,0)))</f>
        <v/>
      </c>
      <c r="C56" s="220" t="str">
        <f>IF(LEN(A56)=0,"",INDEX('Smelter Look-up'!$C:$C,MATCH($A56,'Smelter Look-up'!$E:$E,0)))</f>
        <v/>
      </c>
      <c r="D56" s="216"/>
      <c r="E56" s="216" t="str">
        <f ca="1">IF(ISERROR($V56),"",OFFSET('Smelter Look-up'!$D$4,$V56-4,0)&amp;"")</f>
        <v/>
      </c>
      <c r="F56" s="216" t="str">
        <f ca="1">IF(ISERROR($V56),"",OFFSET('Smelter Look-up'!$E$4,$V56-4,0))</f>
        <v/>
      </c>
      <c r="G56" s="216" t="str">
        <f ca="1">IF(C56=$X$4,"Enter smelter details", IF(ISERROR($V56),"",OFFSET('Smelter Look-up'!$F$4,$V56-4,0)))</f>
        <v/>
      </c>
      <c r="H56" s="217" t="str">
        <f ca="1">IF(ISERROR($V56),"",OFFSET('Smelter Look-up'!$G$4,$V56-4,0))</f>
        <v/>
      </c>
      <c r="I56" s="218" t="str">
        <f ca="1">IF(ISERROR($V56),"",OFFSET('Smelter Look-up'!$H$4,$V56-4,0))</f>
        <v/>
      </c>
      <c r="J56" s="218" t="str">
        <f ca="1">IF(ISERROR($V56),"",OFFSET('Smelter Look-up'!$I$4,$V56-4,0))</f>
        <v/>
      </c>
      <c r="K56" s="267"/>
      <c r="L56" s="267"/>
      <c r="M56" s="267"/>
      <c r="N56" s="267"/>
      <c r="O56" s="267"/>
      <c r="P56" s="219"/>
      <c r="Q56" s="268"/>
      <c r="R56" s="216" t="str">
        <f ca="1">IF(ISERROR($V56),"",OFFSET('Smelter Look-up'!$C$4,$V56-4,0)&amp;"")</f>
        <v/>
      </c>
      <c r="S56" s="224" t="str">
        <f t="shared" ca="1" si="0"/>
        <v/>
      </c>
      <c r="T56" s="224" t="str">
        <f ca="1">IF(B56="","",IF(ISERROR(MATCH($J56,SorP!$B$1:$B$6230,0)),"",INDIRECT("'SorP'!$A$"&amp;MATCH($J56,SorP!$B$1:$B$6230,0))))</f>
        <v/>
      </c>
      <c r="U56" s="239"/>
      <c r="V56" s="269" t="e">
        <f>IF(C56="",NA(),MATCH($B56&amp;$C56,'Smelter Look-up'!$J:$J,0))</f>
        <v>#N/A</v>
      </c>
      <c r="W56" s="270"/>
      <c r="X56" s="270">
        <f t="shared" ca="1" si="1"/>
        <v>0</v>
      </c>
      <c r="Y56" s="270"/>
      <c r="Z56" s="270"/>
      <c r="AB56" s="272" t="str">
        <f t="shared" si="2"/>
        <v/>
      </c>
    </row>
    <row r="57" spans="1:28" s="271" customFormat="1" ht="20.25">
      <c r="A57" s="215"/>
      <c r="B57" s="216" t="str">
        <f>IF(LEN(A57)=0,"",INDEX('Smelter Look-up'!$A:$A,MATCH($A57,'Smelter Look-up'!$E:$E,0)))</f>
        <v/>
      </c>
      <c r="C57" s="220" t="str">
        <f>IF(LEN(A57)=0,"",INDEX('Smelter Look-up'!$C:$C,MATCH($A57,'Smelter Look-up'!$E:$E,0)))</f>
        <v/>
      </c>
      <c r="D57" s="216"/>
      <c r="E57" s="216" t="str">
        <f ca="1">IF(ISERROR($V57),"",OFFSET('Smelter Look-up'!$D$4,$V57-4,0)&amp;"")</f>
        <v/>
      </c>
      <c r="F57" s="216" t="str">
        <f ca="1">IF(ISERROR($V57),"",OFFSET('Smelter Look-up'!$E$4,$V57-4,0))</f>
        <v/>
      </c>
      <c r="G57" s="216" t="str">
        <f ca="1">IF(C57=$X$4,"Enter smelter details", IF(ISERROR($V57),"",OFFSET('Smelter Look-up'!$F$4,$V57-4,0)))</f>
        <v/>
      </c>
      <c r="H57" s="217" t="str">
        <f ca="1">IF(ISERROR($V57),"",OFFSET('Smelter Look-up'!$G$4,$V57-4,0))</f>
        <v/>
      </c>
      <c r="I57" s="218" t="str">
        <f ca="1">IF(ISERROR($V57),"",OFFSET('Smelter Look-up'!$H$4,$V57-4,0))</f>
        <v/>
      </c>
      <c r="J57" s="218" t="str">
        <f ca="1">IF(ISERROR($V57),"",OFFSET('Smelter Look-up'!$I$4,$V57-4,0))</f>
        <v/>
      </c>
      <c r="K57" s="267"/>
      <c r="L57" s="267"/>
      <c r="M57" s="267"/>
      <c r="N57" s="267"/>
      <c r="O57" s="267"/>
      <c r="P57" s="219"/>
      <c r="Q57" s="268"/>
      <c r="R57" s="216" t="str">
        <f ca="1">IF(ISERROR($V57),"",OFFSET('Smelter Look-up'!$C$4,$V57-4,0)&amp;"")</f>
        <v/>
      </c>
      <c r="S57" s="224" t="str">
        <f t="shared" ca="1" si="0"/>
        <v/>
      </c>
      <c r="T57" s="224" t="str">
        <f ca="1">IF(B57="","",IF(ISERROR(MATCH($J57,SorP!$B$1:$B$6230,0)),"",INDIRECT("'SorP'!$A$"&amp;MATCH($J57,SorP!$B$1:$B$6230,0))))</f>
        <v/>
      </c>
      <c r="U57" s="239"/>
      <c r="V57" s="269" t="e">
        <f>IF(C57="",NA(),MATCH($B57&amp;$C57,'Smelter Look-up'!$J:$J,0))</f>
        <v>#N/A</v>
      </c>
      <c r="W57" s="270"/>
      <c r="X57" s="270">
        <f t="shared" ca="1" si="1"/>
        <v>0</v>
      </c>
      <c r="Y57" s="270"/>
      <c r="Z57" s="270"/>
      <c r="AB57" s="272" t="str">
        <f t="shared" si="2"/>
        <v/>
      </c>
    </row>
    <row r="58" spans="1:28" s="271" customFormat="1" ht="20.25">
      <c r="A58" s="215"/>
      <c r="B58" s="216" t="str">
        <f>IF(LEN(A58)=0,"",INDEX('Smelter Look-up'!$A:$A,MATCH($A58,'Smelter Look-up'!$E:$E,0)))</f>
        <v/>
      </c>
      <c r="C58" s="220" t="str">
        <f>IF(LEN(A58)=0,"",INDEX('Smelter Look-up'!$C:$C,MATCH($A58,'Smelter Look-up'!$E:$E,0)))</f>
        <v/>
      </c>
      <c r="D58" s="216"/>
      <c r="E58" s="216" t="str">
        <f ca="1">IF(ISERROR($V58),"",OFFSET('Smelter Look-up'!$D$4,$V58-4,0)&amp;"")</f>
        <v/>
      </c>
      <c r="F58" s="216" t="str">
        <f ca="1">IF(ISERROR($V58),"",OFFSET('Smelter Look-up'!$E$4,$V58-4,0))</f>
        <v/>
      </c>
      <c r="G58" s="216" t="str">
        <f ca="1">IF(C58=$X$4,"Enter smelter details", IF(ISERROR($V58),"",OFFSET('Smelter Look-up'!$F$4,$V58-4,0)))</f>
        <v/>
      </c>
      <c r="H58" s="217" t="str">
        <f ca="1">IF(ISERROR($V58),"",OFFSET('Smelter Look-up'!$G$4,$V58-4,0))</f>
        <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0"/>
        <v/>
      </c>
      <c r="T58" s="224" t="str">
        <f ca="1">IF(B58="","",IF(ISERROR(MATCH($J58,SorP!$B$1:$B$6230,0)),"",INDIRECT("'SorP'!$A$"&amp;MATCH($J58,SorP!$B$1:$B$6230,0))))</f>
        <v/>
      </c>
      <c r="U58" s="239"/>
      <c r="V58" s="269" t="e">
        <f>IF(C58="",NA(),MATCH($B58&amp;$C58,'Smelter Look-up'!$J:$J,0))</f>
        <v>#N/A</v>
      </c>
      <c r="W58" s="270"/>
      <c r="X58" s="270">
        <f t="shared" ca="1" si="1"/>
        <v>0</v>
      </c>
      <c r="Y58" s="270"/>
      <c r="Z58" s="270"/>
      <c r="AB58" s="272" t="str">
        <f t="shared" si="2"/>
        <v/>
      </c>
    </row>
    <row r="59" spans="1:28" s="271" customFormat="1" ht="20.25">
      <c r="A59" s="215"/>
      <c r="B59" s="216" t="str">
        <f>IF(LEN(A59)=0,"",INDEX('Smelter Look-up'!$A:$A,MATCH($A59,'Smelter Look-up'!$E:$E,0)))</f>
        <v/>
      </c>
      <c r="C59" s="220" t="str">
        <f>IF(LEN(A59)=0,"",INDEX('Smelter Look-up'!$C:$C,MATCH($A59,'Smelter Look-up'!$E:$E,0)))</f>
        <v/>
      </c>
      <c r="D59" s="216"/>
      <c r="E59" s="216" t="str">
        <f ca="1">IF(ISERROR($V59),"",OFFSET('Smelter Look-up'!$D$4,$V59-4,0)&amp;"")</f>
        <v/>
      </c>
      <c r="F59" s="216" t="str">
        <f ca="1">IF(ISERROR($V59),"",OFFSET('Smelter Look-up'!$E$4,$V59-4,0))</f>
        <v/>
      </c>
      <c r="G59" s="216" t="str">
        <f ca="1">IF(C59=$X$4,"Enter smelter details", IF(ISERROR($V59),"",OFFSET('Smelter Look-up'!$F$4,$V59-4,0)))</f>
        <v/>
      </c>
      <c r="H59" s="217" t="str">
        <f ca="1">IF(ISERROR($V59),"",OFFSET('Smelter Look-up'!$G$4,$V59-4,0))</f>
        <v/>
      </c>
      <c r="I59" s="218" t="str">
        <f ca="1">IF(ISERROR($V59),"",OFFSET('Smelter Look-up'!$H$4,$V59-4,0))</f>
        <v/>
      </c>
      <c r="J59" s="218" t="str">
        <f ca="1">IF(ISERROR($V59),"",OFFSET('Smelter Look-up'!$I$4,$V59-4,0))</f>
        <v/>
      </c>
      <c r="K59" s="267"/>
      <c r="L59" s="267"/>
      <c r="M59" s="267"/>
      <c r="N59" s="267"/>
      <c r="O59" s="267"/>
      <c r="P59" s="219"/>
      <c r="Q59" s="268"/>
      <c r="R59" s="216" t="str">
        <f ca="1">IF(ISERROR($V59),"",OFFSET('Smelter Look-up'!$C$4,$V59-4,0)&amp;"")</f>
        <v/>
      </c>
      <c r="S59" s="224" t="str">
        <f t="shared" ca="1" si="0"/>
        <v/>
      </c>
      <c r="T59" s="224" t="str">
        <f ca="1">IF(B59="","",IF(ISERROR(MATCH($J59,SorP!$B$1:$B$6230,0)),"",INDIRECT("'SorP'!$A$"&amp;MATCH($J59,SorP!$B$1:$B$6230,0))))</f>
        <v/>
      </c>
      <c r="U59" s="239"/>
      <c r="V59" s="269" t="e">
        <f>IF(C59="",NA(),MATCH($B59&amp;$C59,'Smelter Look-up'!$J:$J,0))</f>
        <v>#N/A</v>
      </c>
      <c r="W59" s="270"/>
      <c r="X59" s="270">
        <f t="shared" ca="1" si="1"/>
        <v>0</v>
      </c>
      <c r="Y59" s="270"/>
      <c r="Z59" s="270"/>
      <c r="AB59" s="272" t="str">
        <f t="shared" si="2"/>
        <v/>
      </c>
    </row>
    <row r="60" spans="1:28" s="271" customFormat="1" ht="20.25">
      <c r="A60" s="215"/>
      <c r="B60" s="216" t="str">
        <f>IF(LEN(A60)=0,"",INDEX('Smelter Look-up'!$A:$A,MATCH($A60,'Smelter Look-up'!$E:$E,0)))</f>
        <v/>
      </c>
      <c r="C60" s="220" t="str">
        <f>IF(LEN(A60)=0,"",INDEX('Smelter Look-up'!$C:$C,MATCH($A60,'Smelter Look-up'!$E:$E,0)))</f>
        <v/>
      </c>
      <c r="D60" s="216"/>
      <c r="E60" s="216" t="str">
        <f ca="1">IF(ISERROR($V60),"",OFFSET('Smelter Look-up'!$D$4,$V60-4,0)&amp;"")</f>
        <v/>
      </c>
      <c r="F60" s="216" t="str">
        <f ca="1">IF(ISERROR($V60),"",OFFSET('Smelter Look-up'!$E$4,$V60-4,0))</f>
        <v/>
      </c>
      <c r="G60" s="216" t="str">
        <f ca="1">IF(C60=$X$4,"Enter smelter details", IF(ISERROR($V60),"",OFFSET('Smelter Look-up'!$F$4,$V60-4,0)))</f>
        <v/>
      </c>
      <c r="H60" s="217" t="str">
        <f ca="1">IF(ISERROR($V60),"",OFFSET('Smelter Look-up'!$G$4,$V60-4,0))</f>
        <v/>
      </c>
      <c r="I60" s="218" t="str">
        <f ca="1">IF(ISERROR($V60),"",OFFSET('Smelter Look-up'!$H$4,$V60-4,0))</f>
        <v/>
      </c>
      <c r="J60" s="218" t="str">
        <f ca="1">IF(ISERROR($V60),"",OFFSET('Smelter Look-up'!$I$4,$V60-4,0))</f>
        <v/>
      </c>
      <c r="K60" s="267"/>
      <c r="L60" s="267"/>
      <c r="M60" s="267"/>
      <c r="N60" s="267"/>
      <c r="O60" s="267"/>
      <c r="P60" s="219"/>
      <c r="Q60" s="268"/>
      <c r="R60" s="216" t="str">
        <f ca="1">IF(ISERROR($V60),"",OFFSET('Smelter Look-up'!$C$4,$V60-4,0)&amp;"")</f>
        <v/>
      </c>
      <c r="S60" s="224" t="str">
        <f t="shared" ca="1" si="0"/>
        <v/>
      </c>
      <c r="T60" s="224" t="str">
        <f ca="1">IF(B60="","",IF(ISERROR(MATCH($J60,SorP!$B$1:$B$6230,0)),"",INDIRECT("'SorP'!$A$"&amp;MATCH($J60,SorP!$B$1:$B$6230,0))))</f>
        <v/>
      </c>
      <c r="U60" s="239"/>
      <c r="V60" s="269" t="e">
        <f>IF(C60="",NA(),MATCH($B60&amp;$C60,'Smelter Look-up'!$J:$J,0))</f>
        <v>#N/A</v>
      </c>
      <c r="W60" s="270"/>
      <c r="X60" s="270">
        <f t="shared" ca="1" si="1"/>
        <v>0</v>
      </c>
      <c r="Y60" s="270"/>
      <c r="Z60" s="270"/>
      <c r="AB60" s="272" t="str">
        <f t="shared" si="2"/>
        <v/>
      </c>
    </row>
    <row r="61" spans="1:28" s="271" customFormat="1" ht="20.25">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0"/>
        <v/>
      </c>
      <c r="T61" s="224" t="str">
        <f ca="1">IF(B61="","",IF(ISERROR(MATCH($J61,SorP!$B$1:$B$6230,0)),"",INDIRECT("'SorP'!$A$"&amp;MATCH($J61,SorP!$B$1:$B$6230,0))))</f>
        <v/>
      </c>
      <c r="U61" s="239"/>
      <c r="V61" s="269" t="e">
        <f>IF(C61="",NA(),MATCH($B61&amp;$C61,'Smelter Look-up'!$J:$J,0))</f>
        <v>#N/A</v>
      </c>
      <c r="W61" s="270"/>
      <c r="X61" s="270">
        <f t="shared" ca="1" si="1"/>
        <v>0</v>
      </c>
      <c r="Y61" s="270"/>
      <c r="Z61" s="270"/>
      <c r="AB61" s="272" t="str">
        <f t="shared" si="2"/>
        <v/>
      </c>
    </row>
    <row r="62" spans="1:28" s="271" customFormat="1" ht="20.25">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0"/>
        <v/>
      </c>
      <c r="T62" s="224" t="str">
        <f ca="1">IF(B62="","",IF(ISERROR(MATCH($J62,SorP!$B$1:$B$6230,0)),"",INDIRECT("'SorP'!$A$"&amp;MATCH($J62,SorP!$B$1:$B$6230,0))))</f>
        <v/>
      </c>
      <c r="U62" s="239"/>
      <c r="V62" s="269" t="e">
        <f>IF(C62="",NA(),MATCH($B62&amp;$C62,'Smelter Look-up'!$J:$J,0))</f>
        <v>#N/A</v>
      </c>
      <c r="W62" s="270"/>
      <c r="X62" s="270">
        <f t="shared" ca="1" si="1"/>
        <v>0</v>
      </c>
      <c r="Y62" s="270"/>
      <c r="Z62" s="270"/>
      <c r="AB62" s="272" t="str">
        <f t="shared" si="2"/>
        <v/>
      </c>
    </row>
    <row r="63" spans="1:28" s="271" customFormat="1" ht="20.25">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0"/>
        <v/>
      </c>
      <c r="T63" s="224" t="str">
        <f ca="1">IF(B63="","",IF(ISERROR(MATCH($J63,SorP!$B$1:$B$6230,0)),"",INDIRECT("'SorP'!$A$"&amp;MATCH($J63,SorP!$B$1:$B$6230,0))))</f>
        <v/>
      </c>
      <c r="U63" s="239"/>
      <c r="V63" s="269" t="e">
        <f>IF(C63="",NA(),MATCH($B63&amp;$C63,'Smelter Look-up'!$J:$J,0))</f>
        <v>#N/A</v>
      </c>
      <c r="W63" s="270"/>
      <c r="X63" s="270">
        <f t="shared" ca="1" si="1"/>
        <v>0</v>
      </c>
      <c r="Y63" s="270"/>
      <c r="Z63" s="270"/>
      <c r="AB63" s="272" t="str">
        <f t="shared" si="2"/>
        <v/>
      </c>
    </row>
    <row r="64" spans="1:28" s="271" customFormat="1" ht="20.25">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ca="1" si="0"/>
        <v/>
      </c>
      <c r="T64" s="224" t="str">
        <f ca="1">IF(B64="","",IF(ISERROR(MATCH($J64,SorP!$B$1:$B$6230,0)),"",INDIRECT("'SorP'!$A$"&amp;MATCH($J64,SorP!$B$1:$B$6230,0))))</f>
        <v/>
      </c>
      <c r="U64" s="239"/>
      <c r="V64" s="269" t="e">
        <f>IF(C64="",NA(),MATCH($B64&amp;$C64,'Smelter Look-up'!$J:$J,0))</f>
        <v>#N/A</v>
      </c>
      <c r="W64" s="270"/>
      <c r="X64" s="270">
        <f t="shared" ca="1" si="1"/>
        <v>0</v>
      </c>
      <c r="Y64" s="270"/>
      <c r="Z64" s="270"/>
      <c r="AB64" s="272" t="str">
        <f t="shared" si="2"/>
        <v/>
      </c>
    </row>
    <row r="65" spans="1:28" s="271" customFormat="1" ht="20.25">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ca="1" si="0"/>
        <v/>
      </c>
      <c r="T65" s="224" t="str">
        <f ca="1">IF(B65="","",IF(ISERROR(MATCH($J65,SorP!$B$1:$B$6230,0)),"",INDIRECT("'SorP'!$A$"&amp;MATCH($J65,SorP!$B$1:$B$6230,0))))</f>
        <v/>
      </c>
      <c r="U65" s="239"/>
      <c r="V65" s="269" t="e">
        <f>IF(C65="",NA(),MATCH($B65&amp;$C65,'Smelter Look-up'!$J:$J,0))</f>
        <v>#N/A</v>
      </c>
      <c r="W65" s="270"/>
      <c r="X65" s="270">
        <f t="shared" ca="1" si="1"/>
        <v>0</v>
      </c>
      <c r="Y65" s="270"/>
      <c r="Z65" s="270"/>
      <c r="AB65" s="272" t="str">
        <f t="shared" si="2"/>
        <v/>
      </c>
    </row>
    <row r="66" spans="1:28" s="271" customFormat="1" ht="20.25">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ca="1" si="0"/>
        <v/>
      </c>
      <c r="T66" s="224" t="str">
        <f ca="1">IF(B66="","",IF(ISERROR(MATCH($J66,SorP!$B$1:$B$6230,0)),"",INDIRECT("'SorP'!$A$"&amp;MATCH($J66,SorP!$B$1:$B$6230,0))))</f>
        <v/>
      </c>
      <c r="U66" s="239"/>
      <c r="V66" s="269" t="e">
        <f>IF(C66="",NA(),MATCH($B66&amp;$C66,'Smelter Look-up'!$J:$J,0))</f>
        <v>#N/A</v>
      </c>
      <c r="W66" s="270"/>
      <c r="X66" s="270">
        <f t="shared" ca="1" si="1"/>
        <v>0</v>
      </c>
      <c r="Y66" s="270"/>
      <c r="Z66" s="270"/>
      <c r="AB66" s="272" t="str">
        <f t="shared" si="2"/>
        <v/>
      </c>
    </row>
    <row r="67" spans="1:28" s="271" customFormat="1" ht="20.25">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ca="1" si="0"/>
        <v/>
      </c>
      <c r="T67" s="224" t="str">
        <f ca="1">IF(B67="","",IF(ISERROR(MATCH($J67,SorP!$B$1:$B$6230,0)),"",INDIRECT("'SorP'!$A$"&amp;MATCH($J67,SorP!$B$1:$B$6230,0))))</f>
        <v/>
      </c>
      <c r="U67" s="239"/>
      <c r="V67" s="269" t="e">
        <f>IF(C67="",NA(),MATCH($B67&amp;$C67,'Smelter Look-up'!$J:$J,0))</f>
        <v>#N/A</v>
      </c>
      <c r="W67" s="270"/>
      <c r="X67" s="270">
        <f t="shared" ca="1" si="1"/>
        <v>0</v>
      </c>
      <c r="Y67" s="270"/>
      <c r="Z67" s="270"/>
      <c r="AB67" s="272" t="str">
        <f t="shared" si="2"/>
        <v/>
      </c>
    </row>
    <row r="68" spans="1:28" s="271" customFormat="1" ht="20.25">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0"/>
        <v/>
      </c>
      <c r="T68" s="224" t="str">
        <f ca="1">IF(B68="","",IF(ISERROR(MATCH($J68,SorP!$B$1:$B$6230,0)),"",INDIRECT("'SorP'!$A$"&amp;MATCH($J68,SorP!$B$1:$B$6230,0))))</f>
        <v/>
      </c>
      <c r="U68" s="239"/>
      <c r="V68" s="269" t="e">
        <f>IF(C68="",NA(),MATCH($B68&amp;$C68,'Smelter Look-up'!$J:$J,0))</f>
        <v>#N/A</v>
      </c>
      <c r="W68" s="270"/>
      <c r="X68" s="270">
        <f t="shared" ca="1" si="1"/>
        <v>0</v>
      </c>
      <c r="Y68" s="270"/>
      <c r="Z68" s="270"/>
      <c r="AB68" s="272" t="str">
        <f t="shared" si="2"/>
        <v/>
      </c>
    </row>
    <row r="69" spans="1:28" s="271" customFormat="1" ht="20.25">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ref="S69:S132" ca="1" si="3">IF(B69="","",IF(ISERROR(MATCH($E69,CL,0)),"Unknown",INDIRECT("'C'!$A$"&amp;MATCH($E69,CL,0)+1)))</f>
        <v/>
      </c>
      <c r="T69" s="224" t="str">
        <f ca="1">IF(B69="","",IF(ISERROR(MATCH($J69,SorP!$B$1:$B$6230,0)),"",INDIRECT("'SorP'!$A$"&amp;MATCH($J69,SorP!$B$1:$B$6230,0))))</f>
        <v/>
      </c>
      <c r="U69" s="239"/>
      <c r="V69" s="269" t="e">
        <f>IF(C69="",NA(),MATCH($B69&amp;$C69,'Smelter Look-up'!$J:$J,0))</f>
        <v>#N/A</v>
      </c>
      <c r="W69" s="270"/>
      <c r="X69" s="270">
        <f t="shared" ref="X69:X132" ca="1" si="4">IF(AND(C69="Smelter not listed",OR(LEN(D69)=0,LEN(E69)=0)),1,0)</f>
        <v>0</v>
      </c>
      <c r="Y69" s="270"/>
      <c r="Z69" s="270"/>
      <c r="AB69" s="272" t="str">
        <f t="shared" ref="AB69:AB132" si="5">B69&amp;C69</f>
        <v/>
      </c>
    </row>
    <row r="70" spans="1:28" s="271" customFormat="1" ht="20.25">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3"/>
        <v/>
      </c>
      <c r="T70" s="224" t="str">
        <f ca="1">IF(B70="","",IF(ISERROR(MATCH($J70,SorP!$B$1:$B$6230,0)),"",INDIRECT("'SorP'!$A$"&amp;MATCH($J70,SorP!$B$1:$B$6230,0))))</f>
        <v/>
      </c>
      <c r="U70" s="239"/>
      <c r="V70" s="269" t="e">
        <f>IF(C70="",NA(),MATCH($B70&amp;$C70,'Smelter Look-up'!$J:$J,0))</f>
        <v>#N/A</v>
      </c>
      <c r="W70" s="270"/>
      <c r="X70" s="270">
        <f t="shared" ca="1" si="4"/>
        <v>0</v>
      </c>
      <c r="Y70" s="270"/>
      <c r="Z70" s="270"/>
      <c r="AB70" s="272" t="str">
        <f t="shared" si="5"/>
        <v/>
      </c>
    </row>
    <row r="71" spans="1:28" s="271" customFormat="1" ht="20.25">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3"/>
        <v/>
      </c>
      <c r="T71" s="224" t="str">
        <f ca="1">IF(B71="","",IF(ISERROR(MATCH($J71,SorP!$B$1:$B$6230,0)),"",INDIRECT("'SorP'!$A$"&amp;MATCH($J71,SorP!$B$1:$B$6230,0))))</f>
        <v/>
      </c>
      <c r="U71" s="239"/>
      <c r="V71" s="269" t="e">
        <f>IF(C71="",NA(),MATCH($B71&amp;$C71,'Smelter Look-up'!$J:$J,0))</f>
        <v>#N/A</v>
      </c>
      <c r="W71" s="270"/>
      <c r="X71" s="270">
        <f t="shared" ca="1" si="4"/>
        <v>0</v>
      </c>
      <c r="Y71" s="270"/>
      <c r="Z71" s="270"/>
      <c r="AB71" s="272" t="str">
        <f t="shared" si="5"/>
        <v/>
      </c>
    </row>
    <row r="72" spans="1:28" s="271" customFormat="1" ht="20.25">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3"/>
        <v/>
      </c>
      <c r="T72" s="224" t="str">
        <f ca="1">IF(B72="","",IF(ISERROR(MATCH($J72,SorP!$B$1:$B$6230,0)),"",INDIRECT("'SorP'!$A$"&amp;MATCH($J72,SorP!$B$1:$B$6230,0))))</f>
        <v/>
      </c>
      <c r="U72" s="239"/>
      <c r="V72" s="269" t="e">
        <f>IF(C72="",NA(),MATCH($B72&amp;$C72,'Smelter Look-up'!$J:$J,0))</f>
        <v>#N/A</v>
      </c>
      <c r="W72" s="270"/>
      <c r="X72" s="270">
        <f t="shared" ca="1" si="4"/>
        <v>0</v>
      </c>
      <c r="Y72" s="270"/>
      <c r="Z72" s="270"/>
      <c r="AB72" s="272" t="str">
        <f t="shared" si="5"/>
        <v/>
      </c>
    </row>
    <row r="73" spans="1:28" s="271" customFormat="1" ht="20.25">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3"/>
        <v/>
      </c>
      <c r="T73" s="224" t="str">
        <f ca="1">IF(B73="","",IF(ISERROR(MATCH($J73,SorP!$B$1:$B$6230,0)),"",INDIRECT("'SorP'!$A$"&amp;MATCH($J73,SorP!$B$1:$B$6230,0))))</f>
        <v/>
      </c>
      <c r="U73" s="239"/>
      <c r="V73" s="269" t="e">
        <f>IF(C73="",NA(),MATCH($B73&amp;$C73,'Smelter Look-up'!$J:$J,0))</f>
        <v>#N/A</v>
      </c>
      <c r="W73" s="270"/>
      <c r="X73" s="270">
        <f t="shared" ca="1" si="4"/>
        <v>0</v>
      </c>
      <c r="Y73" s="270"/>
      <c r="Z73" s="270"/>
      <c r="AB73" s="272" t="str">
        <f t="shared" si="5"/>
        <v/>
      </c>
    </row>
    <row r="74" spans="1:28" s="271" customFormat="1" ht="20.25">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3"/>
        <v/>
      </c>
      <c r="T74" s="224" t="str">
        <f ca="1">IF(B74="","",IF(ISERROR(MATCH($J74,SorP!$B$1:$B$6230,0)),"",INDIRECT("'SorP'!$A$"&amp;MATCH($J74,SorP!$B$1:$B$6230,0))))</f>
        <v/>
      </c>
      <c r="U74" s="239"/>
      <c r="V74" s="269" t="e">
        <f>IF(C74="",NA(),MATCH($B74&amp;$C74,'Smelter Look-up'!$J:$J,0))</f>
        <v>#N/A</v>
      </c>
      <c r="W74" s="270"/>
      <c r="X74" s="270">
        <f t="shared" ca="1" si="4"/>
        <v>0</v>
      </c>
      <c r="Y74" s="270"/>
      <c r="Z74" s="270"/>
      <c r="AB74" s="272" t="str">
        <f t="shared" si="5"/>
        <v/>
      </c>
    </row>
    <row r="75" spans="1:28" s="271" customFormat="1" ht="20.25">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3"/>
        <v/>
      </c>
      <c r="T75" s="224" t="str">
        <f ca="1">IF(B75="","",IF(ISERROR(MATCH($J75,SorP!$B$1:$B$6230,0)),"",INDIRECT("'SorP'!$A$"&amp;MATCH($J75,SorP!$B$1:$B$6230,0))))</f>
        <v/>
      </c>
      <c r="U75" s="239"/>
      <c r="V75" s="269" t="e">
        <f>IF(C75="",NA(),MATCH($B75&amp;$C75,'Smelter Look-up'!$J:$J,0))</f>
        <v>#N/A</v>
      </c>
      <c r="W75" s="270"/>
      <c r="X75" s="270">
        <f t="shared" ca="1" si="4"/>
        <v>0</v>
      </c>
      <c r="Y75" s="270"/>
      <c r="Z75" s="270"/>
      <c r="AB75" s="272" t="str">
        <f t="shared" si="5"/>
        <v/>
      </c>
    </row>
    <row r="76" spans="1:28" s="271" customFormat="1" ht="20.25">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3"/>
        <v/>
      </c>
      <c r="T76" s="224" t="str">
        <f ca="1">IF(B76="","",IF(ISERROR(MATCH($J76,SorP!$B$1:$B$6230,0)),"",INDIRECT("'SorP'!$A$"&amp;MATCH($J76,SorP!$B$1:$B$6230,0))))</f>
        <v/>
      </c>
      <c r="U76" s="239"/>
      <c r="V76" s="269" t="e">
        <f>IF(C76="",NA(),MATCH($B76&amp;$C76,'Smelter Look-up'!$J:$J,0))</f>
        <v>#N/A</v>
      </c>
      <c r="W76" s="270"/>
      <c r="X76" s="270">
        <f t="shared" ca="1" si="4"/>
        <v>0</v>
      </c>
      <c r="Y76" s="270"/>
      <c r="Z76" s="270"/>
      <c r="AB76" s="272" t="str">
        <f t="shared" si="5"/>
        <v/>
      </c>
    </row>
    <row r="77" spans="1:28" s="271" customFormat="1" ht="20.25">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3"/>
        <v/>
      </c>
      <c r="T77" s="224" t="str">
        <f ca="1">IF(B77="","",IF(ISERROR(MATCH($J77,SorP!$B$1:$B$6230,0)),"",INDIRECT("'SorP'!$A$"&amp;MATCH($J77,SorP!$B$1:$B$6230,0))))</f>
        <v/>
      </c>
      <c r="U77" s="239"/>
      <c r="V77" s="269" t="e">
        <f>IF(C77="",NA(),MATCH($B77&amp;$C77,'Smelter Look-up'!$J:$J,0))</f>
        <v>#N/A</v>
      </c>
      <c r="W77" s="270"/>
      <c r="X77" s="270">
        <f t="shared" ca="1" si="4"/>
        <v>0</v>
      </c>
      <c r="Y77" s="270"/>
      <c r="Z77" s="270"/>
      <c r="AB77" s="272" t="str">
        <f t="shared" si="5"/>
        <v/>
      </c>
    </row>
    <row r="78" spans="1:28" s="271" customFormat="1" ht="20.25">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3"/>
        <v/>
      </c>
      <c r="T78" s="224" t="str">
        <f ca="1">IF(B78="","",IF(ISERROR(MATCH($J78,SorP!$B$1:$B$6230,0)),"",INDIRECT("'SorP'!$A$"&amp;MATCH($J78,SorP!$B$1:$B$6230,0))))</f>
        <v/>
      </c>
      <c r="U78" s="239"/>
      <c r="V78" s="269" t="e">
        <f>IF(C78="",NA(),MATCH($B78&amp;$C78,'Smelter Look-up'!$J:$J,0))</f>
        <v>#N/A</v>
      </c>
      <c r="W78" s="270"/>
      <c r="X78" s="270">
        <f t="shared" ca="1" si="4"/>
        <v>0</v>
      </c>
      <c r="Y78" s="270"/>
      <c r="Z78" s="270"/>
      <c r="AB78" s="272" t="str">
        <f t="shared" si="5"/>
        <v/>
      </c>
    </row>
    <row r="79" spans="1:28" s="271" customFormat="1" ht="20.25">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3"/>
        <v/>
      </c>
      <c r="T79" s="224" t="str">
        <f ca="1">IF(B79="","",IF(ISERROR(MATCH($J79,SorP!$B$1:$B$6230,0)),"",INDIRECT("'SorP'!$A$"&amp;MATCH($J79,SorP!$B$1:$B$6230,0))))</f>
        <v/>
      </c>
      <c r="U79" s="239"/>
      <c r="V79" s="269" t="e">
        <f>IF(C79="",NA(),MATCH($B79&amp;$C79,'Smelter Look-up'!$J:$J,0))</f>
        <v>#N/A</v>
      </c>
      <c r="W79" s="270"/>
      <c r="X79" s="270">
        <f t="shared" ca="1" si="4"/>
        <v>0</v>
      </c>
      <c r="Y79" s="270"/>
      <c r="Z79" s="270"/>
      <c r="AB79" s="272" t="str">
        <f t="shared" si="5"/>
        <v/>
      </c>
    </row>
    <row r="80" spans="1:28" s="271" customFormat="1" ht="20.25">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3"/>
        <v/>
      </c>
      <c r="T80" s="224" t="str">
        <f ca="1">IF(B80="","",IF(ISERROR(MATCH($J80,SorP!$B$1:$B$6230,0)),"",INDIRECT("'SorP'!$A$"&amp;MATCH($J80,SorP!$B$1:$B$6230,0))))</f>
        <v/>
      </c>
      <c r="U80" s="239"/>
      <c r="V80" s="269" t="e">
        <f>IF(C80="",NA(),MATCH($B80&amp;$C80,'Smelter Look-up'!$J:$J,0))</f>
        <v>#N/A</v>
      </c>
      <c r="W80" s="270"/>
      <c r="X80" s="270">
        <f t="shared" ca="1" si="4"/>
        <v>0</v>
      </c>
      <c r="Y80" s="270"/>
      <c r="Z80" s="270"/>
      <c r="AB80" s="272" t="str">
        <f t="shared" si="5"/>
        <v/>
      </c>
    </row>
    <row r="81" spans="1:28" s="271" customFormat="1" ht="20.25">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3"/>
        <v/>
      </c>
      <c r="T81" s="224" t="str">
        <f ca="1">IF(B81="","",IF(ISERROR(MATCH($J81,SorP!$B$1:$B$6230,0)),"",INDIRECT("'SorP'!$A$"&amp;MATCH($J81,SorP!$B$1:$B$6230,0))))</f>
        <v/>
      </c>
      <c r="U81" s="239"/>
      <c r="V81" s="269" t="e">
        <f>IF(C81="",NA(),MATCH($B81&amp;$C81,'Smelter Look-up'!$J:$J,0))</f>
        <v>#N/A</v>
      </c>
      <c r="W81" s="270"/>
      <c r="X81" s="270">
        <f t="shared" ca="1" si="4"/>
        <v>0</v>
      </c>
      <c r="Y81" s="270"/>
      <c r="Z81" s="270"/>
      <c r="AB81" s="272" t="str">
        <f t="shared" si="5"/>
        <v/>
      </c>
    </row>
    <row r="82" spans="1:28" s="271" customFormat="1" ht="20.25">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3"/>
        <v/>
      </c>
      <c r="T82" s="224" t="str">
        <f ca="1">IF(B82="","",IF(ISERROR(MATCH($J82,SorP!$B$1:$B$6230,0)),"",INDIRECT("'SorP'!$A$"&amp;MATCH($J82,SorP!$B$1:$B$6230,0))))</f>
        <v/>
      </c>
      <c r="U82" s="239"/>
      <c r="V82" s="269" t="e">
        <f>IF(C82="",NA(),MATCH($B82&amp;$C82,'Smelter Look-up'!$J:$J,0))</f>
        <v>#N/A</v>
      </c>
      <c r="W82" s="270"/>
      <c r="X82" s="270">
        <f t="shared" ca="1" si="4"/>
        <v>0</v>
      </c>
      <c r="Y82" s="270"/>
      <c r="Z82" s="270"/>
      <c r="AB82" s="272" t="str">
        <f t="shared" si="5"/>
        <v/>
      </c>
    </row>
    <row r="83" spans="1:28" s="271" customFormat="1" ht="20.25">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3"/>
        <v/>
      </c>
      <c r="T83" s="224" t="str">
        <f ca="1">IF(B83="","",IF(ISERROR(MATCH($J83,SorP!$B$1:$B$6230,0)),"",INDIRECT("'SorP'!$A$"&amp;MATCH($J83,SorP!$B$1:$B$6230,0))))</f>
        <v/>
      </c>
      <c r="U83" s="239"/>
      <c r="V83" s="269" t="e">
        <f>IF(C83="",NA(),MATCH($B83&amp;$C83,'Smelter Look-up'!$J:$J,0))</f>
        <v>#N/A</v>
      </c>
      <c r="W83" s="270"/>
      <c r="X83" s="270">
        <f t="shared" ca="1" si="4"/>
        <v>0</v>
      </c>
      <c r="Y83" s="270"/>
      <c r="Z83" s="270"/>
      <c r="AB83" s="272" t="str">
        <f t="shared" si="5"/>
        <v/>
      </c>
    </row>
    <row r="84" spans="1:28" s="271" customFormat="1" ht="20.25">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3"/>
        <v/>
      </c>
      <c r="T84" s="224" t="str">
        <f ca="1">IF(B84="","",IF(ISERROR(MATCH($J84,SorP!$B$1:$B$6230,0)),"",INDIRECT("'SorP'!$A$"&amp;MATCH($J84,SorP!$B$1:$B$6230,0))))</f>
        <v/>
      </c>
      <c r="U84" s="239"/>
      <c r="V84" s="269" t="e">
        <f>IF(C84="",NA(),MATCH($B84&amp;$C84,'Smelter Look-up'!$J:$J,0))</f>
        <v>#N/A</v>
      </c>
      <c r="W84" s="270"/>
      <c r="X84" s="270">
        <f t="shared" ca="1" si="4"/>
        <v>0</v>
      </c>
      <c r="Y84" s="270"/>
      <c r="Z84" s="270"/>
      <c r="AB84" s="272" t="str">
        <f t="shared" si="5"/>
        <v/>
      </c>
    </row>
    <row r="85" spans="1:28" s="271" customFormat="1" ht="20.25">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3"/>
        <v/>
      </c>
      <c r="T85" s="224" t="str">
        <f ca="1">IF(B85="","",IF(ISERROR(MATCH($J85,SorP!$B$1:$B$6230,0)),"",INDIRECT("'SorP'!$A$"&amp;MATCH($J85,SorP!$B$1:$B$6230,0))))</f>
        <v/>
      </c>
      <c r="U85" s="239"/>
      <c r="V85" s="269" t="e">
        <f>IF(C85="",NA(),MATCH($B85&amp;$C85,'Smelter Look-up'!$J:$J,0))</f>
        <v>#N/A</v>
      </c>
      <c r="W85" s="270"/>
      <c r="X85" s="270">
        <f t="shared" ca="1" si="4"/>
        <v>0</v>
      </c>
      <c r="Y85" s="270"/>
      <c r="Z85" s="270"/>
      <c r="AB85" s="272" t="str">
        <f t="shared" si="5"/>
        <v/>
      </c>
    </row>
    <row r="86" spans="1:28" s="271" customFormat="1" ht="20.25">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3"/>
        <v/>
      </c>
      <c r="T86" s="224" t="str">
        <f ca="1">IF(B86="","",IF(ISERROR(MATCH($J86,SorP!$B$1:$B$6230,0)),"",INDIRECT("'SorP'!$A$"&amp;MATCH($J86,SorP!$B$1:$B$6230,0))))</f>
        <v/>
      </c>
      <c r="U86" s="239"/>
      <c r="V86" s="269" t="e">
        <f>IF(C86="",NA(),MATCH($B86&amp;$C86,'Smelter Look-up'!$J:$J,0))</f>
        <v>#N/A</v>
      </c>
      <c r="W86" s="270"/>
      <c r="X86" s="270">
        <f t="shared" ca="1" si="4"/>
        <v>0</v>
      </c>
      <c r="Y86" s="270"/>
      <c r="Z86" s="270"/>
      <c r="AB86" s="272" t="str">
        <f t="shared" si="5"/>
        <v/>
      </c>
    </row>
    <row r="87" spans="1:28" s="271" customFormat="1" ht="20.25">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3"/>
        <v/>
      </c>
      <c r="T87" s="224" t="str">
        <f ca="1">IF(B87="","",IF(ISERROR(MATCH($J87,SorP!$B$1:$B$6230,0)),"",INDIRECT("'SorP'!$A$"&amp;MATCH($J87,SorP!$B$1:$B$6230,0))))</f>
        <v/>
      </c>
      <c r="U87" s="239"/>
      <c r="V87" s="269" t="e">
        <f>IF(C87="",NA(),MATCH($B87&amp;$C87,'Smelter Look-up'!$J:$J,0))</f>
        <v>#N/A</v>
      </c>
      <c r="W87" s="270"/>
      <c r="X87" s="270">
        <f t="shared" ca="1" si="4"/>
        <v>0</v>
      </c>
      <c r="Y87" s="270"/>
      <c r="Z87" s="270"/>
      <c r="AB87" s="272" t="str">
        <f t="shared" si="5"/>
        <v/>
      </c>
    </row>
    <row r="88" spans="1:28" s="271" customFormat="1" ht="20.25">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3"/>
        <v/>
      </c>
      <c r="T88" s="224" t="str">
        <f ca="1">IF(B88="","",IF(ISERROR(MATCH($J88,SorP!$B$1:$B$6230,0)),"",INDIRECT("'SorP'!$A$"&amp;MATCH($J88,SorP!$B$1:$B$6230,0))))</f>
        <v/>
      </c>
      <c r="U88" s="239"/>
      <c r="V88" s="269" t="e">
        <f>IF(C88="",NA(),MATCH($B88&amp;$C88,'Smelter Look-up'!$J:$J,0))</f>
        <v>#N/A</v>
      </c>
      <c r="W88" s="270"/>
      <c r="X88" s="270">
        <f t="shared" ca="1" si="4"/>
        <v>0</v>
      </c>
      <c r="Y88" s="270"/>
      <c r="Z88" s="270"/>
      <c r="AB88" s="272" t="str">
        <f t="shared" si="5"/>
        <v/>
      </c>
    </row>
    <row r="89" spans="1:28" s="271" customFormat="1" ht="20.25">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3"/>
        <v/>
      </c>
      <c r="T89" s="224" t="str">
        <f ca="1">IF(B89="","",IF(ISERROR(MATCH($J89,SorP!$B$1:$B$6230,0)),"",INDIRECT("'SorP'!$A$"&amp;MATCH($J89,SorP!$B$1:$B$6230,0))))</f>
        <v/>
      </c>
      <c r="U89" s="239"/>
      <c r="V89" s="269" t="e">
        <f>IF(C89="",NA(),MATCH($B89&amp;$C89,'Smelter Look-up'!$J:$J,0))</f>
        <v>#N/A</v>
      </c>
      <c r="W89" s="270"/>
      <c r="X89" s="270">
        <f t="shared" ca="1" si="4"/>
        <v>0</v>
      </c>
      <c r="Y89" s="270"/>
      <c r="Z89" s="270"/>
      <c r="AB89" s="272" t="str">
        <f t="shared" si="5"/>
        <v/>
      </c>
    </row>
    <row r="90" spans="1:28" s="271" customFormat="1" ht="20.25">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3"/>
        <v/>
      </c>
      <c r="T90" s="224" t="str">
        <f ca="1">IF(B90="","",IF(ISERROR(MATCH($J90,SorP!$B$1:$B$6230,0)),"",INDIRECT("'SorP'!$A$"&amp;MATCH($J90,SorP!$B$1:$B$6230,0))))</f>
        <v/>
      </c>
      <c r="U90" s="239"/>
      <c r="V90" s="269" t="e">
        <f>IF(C90="",NA(),MATCH($B90&amp;$C90,'Smelter Look-up'!$J:$J,0))</f>
        <v>#N/A</v>
      </c>
      <c r="W90" s="270"/>
      <c r="X90" s="270">
        <f t="shared" ca="1" si="4"/>
        <v>0</v>
      </c>
      <c r="Y90" s="270"/>
      <c r="Z90" s="270"/>
      <c r="AB90" s="272" t="str">
        <f t="shared" si="5"/>
        <v/>
      </c>
    </row>
    <row r="91" spans="1:28" s="271" customFormat="1" ht="20.25">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3"/>
        <v/>
      </c>
      <c r="T91" s="224" t="str">
        <f ca="1">IF(B91="","",IF(ISERROR(MATCH($J91,SorP!$B$1:$B$6230,0)),"",INDIRECT("'SorP'!$A$"&amp;MATCH($J91,SorP!$B$1:$B$6230,0))))</f>
        <v/>
      </c>
      <c r="U91" s="239"/>
      <c r="V91" s="269" t="e">
        <f>IF(C91="",NA(),MATCH($B91&amp;$C91,'Smelter Look-up'!$J:$J,0))</f>
        <v>#N/A</v>
      </c>
      <c r="W91" s="270"/>
      <c r="X91" s="270">
        <f t="shared" ca="1" si="4"/>
        <v>0</v>
      </c>
      <c r="Y91" s="270"/>
      <c r="Z91" s="270"/>
      <c r="AB91" s="272" t="str">
        <f t="shared" si="5"/>
        <v/>
      </c>
    </row>
    <row r="92" spans="1:28" s="271" customFormat="1" ht="20.25">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3"/>
        <v/>
      </c>
      <c r="T92" s="224" t="str">
        <f ca="1">IF(B92="","",IF(ISERROR(MATCH($J92,SorP!$B$1:$B$6230,0)),"",INDIRECT("'SorP'!$A$"&amp;MATCH($J92,SorP!$B$1:$B$6230,0))))</f>
        <v/>
      </c>
      <c r="U92" s="239"/>
      <c r="V92" s="269" t="e">
        <f>IF(C92="",NA(),MATCH($B92&amp;$C92,'Smelter Look-up'!$J:$J,0))</f>
        <v>#N/A</v>
      </c>
      <c r="W92" s="270"/>
      <c r="X92" s="270">
        <f t="shared" ca="1" si="4"/>
        <v>0</v>
      </c>
      <c r="Y92" s="270"/>
      <c r="Z92" s="270"/>
      <c r="AB92" s="272" t="str">
        <f t="shared" si="5"/>
        <v/>
      </c>
    </row>
    <row r="93" spans="1:28" s="271" customFormat="1" ht="20.25">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3"/>
        <v/>
      </c>
      <c r="T93" s="224" t="str">
        <f ca="1">IF(B93="","",IF(ISERROR(MATCH($J93,SorP!$B$1:$B$6230,0)),"",INDIRECT("'SorP'!$A$"&amp;MATCH($J93,SorP!$B$1:$B$6230,0))))</f>
        <v/>
      </c>
      <c r="U93" s="239"/>
      <c r="V93" s="269" t="e">
        <f>IF(C93="",NA(),MATCH($B93&amp;$C93,'Smelter Look-up'!$J:$J,0))</f>
        <v>#N/A</v>
      </c>
      <c r="W93" s="270"/>
      <c r="X93" s="270">
        <f t="shared" ca="1" si="4"/>
        <v>0</v>
      </c>
      <c r="Y93" s="270"/>
      <c r="Z93" s="270"/>
      <c r="AB93" s="272" t="str">
        <f t="shared" si="5"/>
        <v/>
      </c>
    </row>
    <row r="94" spans="1:28" s="271" customFormat="1" ht="20.25">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3"/>
        <v/>
      </c>
      <c r="T94" s="224" t="str">
        <f ca="1">IF(B94="","",IF(ISERROR(MATCH($J94,SorP!$B$1:$B$6230,0)),"",INDIRECT("'SorP'!$A$"&amp;MATCH($J94,SorP!$B$1:$B$6230,0))))</f>
        <v/>
      </c>
      <c r="U94" s="239"/>
      <c r="V94" s="269" t="e">
        <f>IF(C94="",NA(),MATCH($B94&amp;$C94,'Smelter Look-up'!$J:$J,0))</f>
        <v>#N/A</v>
      </c>
      <c r="W94" s="270"/>
      <c r="X94" s="270">
        <f t="shared" ca="1" si="4"/>
        <v>0</v>
      </c>
      <c r="Y94" s="270"/>
      <c r="Z94" s="270"/>
      <c r="AB94" s="272" t="str">
        <f t="shared" si="5"/>
        <v/>
      </c>
    </row>
    <row r="95" spans="1:28" s="271" customFormat="1" ht="20.25">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3"/>
        <v/>
      </c>
      <c r="T95" s="224" t="str">
        <f ca="1">IF(B95="","",IF(ISERROR(MATCH($J95,SorP!$B$1:$B$6230,0)),"",INDIRECT("'SorP'!$A$"&amp;MATCH($J95,SorP!$B$1:$B$6230,0))))</f>
        <v/>
      </c>
      <c r="U95" s="239"/>
      <c r="V95" s="269" t="e">
        <f>IF(C95="",NA(),MATCH($B95&amp;$C95,'Smelter Look-up'!$J:$J,0))</f>
        <v>#N/A</v>
      </c>
      <c r="W95" s="270"/>
      <c r="X95" s="270">
        <f t="shared" ca="1" si="4"/>
        <v>0</v>
      </c>
      <c r="Y95" s="270"/>
      <c r="Z95" s="270"/>
      <c r="AB95" s="272" t="str">
        <f t="shared" si="5"/>
        <v/>
      </c>
    </row>
    <row r="96" spans="1:28" s="271" customFormat="1" ht="20.25">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3"/>
        <v/>
      </c>
      <c r="T96" s="224" t="str">
        <f ca="1">IF(B96="","",IF(ISERROR(MATCH($J96,SorP!$B$1:$B$6230,0)),"",INDIRECT("'SorP'!$A$"&amp;MATCH($J96,SorP!$B$1:$B$6230,0))))</f>
        <v/>
      </c>
      <c r="U96" s="239"/>
      <c r="V96" s="269" t="e">
        <f>IF(C96="",NA(),MATCH($B96&amp;$C96,'Smelter Look-up'!$J:$J,0))</f>
        <v>#N/A</v>
      </c>
      <c r="W96" s="270"/>
      <c r="X96" s="270">
        <f t="shared" ca="1" si="4"/>
        <v>0</v>
      </c>
      <c r="Y96" s="270"/>
      <c r="Z96" s="270"/>
      <c r="AB96" s="272" t="str">
        <f t="shared" si="5"/>
        <v/>
      </c>
    </row>
    <row r="97" spans="1:28" s="271" customFormat="1" ht="20.25">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3"/>
        <v/>
      </c>
      <c r="T97" s="224" t="str">
        <f ca="1">IF(B97="","",IF(ISERROR(MATCH($J97,SorP!$B$1:$B$6230,0)),"",INDIRECT("'SorP'!$A$"&amp;MATCH($J97,SorP!$B$1:$B$6230,0))))</f>
        <v/>
      </c>
      <c r="U97" s="239"/>
      <c r="V97" s="269" t="e">
        <f>IF(C97="",NA(),MATCH($B97&amp;$C97,'Smelter Look-up'!$J:$J,0))</f>
        <v>#N/A</v>
      </c>
      <c r="W97" s="270"/>
      <c r="X97" s="270">
        <f t="shared" ca="1" si="4"/>
        <v>0</v>
      </c>
      <c r="Y97" s="270"/>
      <c r="Z97" s="270"/>
      <c r="AB97" s="272" t="str">
        <f t="shared" si="5"/>
        <v/>
      </c>
    </row>
    <row r="98" spans="1:28" s="271" customFormat="1" ht="20.25">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3"/>
        <v/>
      </c>
      <c r="T98" s="224" t="str">
        <f ca="1">IF(B98="","",IF(ISERROR(MATCH($J98,SorP!$B$1:$B$6230,0)),"",INDIRECT("'SorP'!$A$"&amp;MATCH($J98,SorP!$B$1:$B$6230,0))))</f>
        <v/>
      </c>
      <c r="U98" s="239"/>
      <c r="V98" s="269" t="e">
        <f>IF(C98="",NA(),MATCH($B98&amp;$C98,'Smelter Look-up'!$J:$J,0))</f>
        <v>#N/A</v>
      </c>
      <c r="W98" s="270"/>
      <c r="X98" s="270">
        <f t="shared" ca="1" si="4"/>
        <v>0</v>
      </c>
      <c r="Y98" s="270"/>
      <c r="Z98" s="270"/>
      <c r="AB98" s="272" t="str">
        <f t="shared" si="5"/>
        <v/>
      </c>
    </row>
    <row r="99" spans="1:28" s="271" customFormat="1" ht="20.25">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3"/>
        <v/>
      </c>
      <c r="T99" s="224" t="str">
        <f ca="1">IF(B99="","",IF(ISERROR(MATCH($J99,SorP!$B$1:$B$6230,0)),"",INDIRECT("'SorP'!$A$"&amp;MATCH($J99,SorP!$B$1:$B$6230,0))))</f>
        <v/>
      </c>
      <c r="U99" s="239"/>
      <c r="V99" s="269" t="e">
        <f>IF(C99="",NA(),MATCH($B99&amp;$C99,'Smelter Look-up'!$J:$J,0))</f>
        <v>#N/A</v>
      </c>
      <c r="W99" s="270"/>
      <c r="X99" s="270">
        <f t="shared" ca="1" si="4"/>
        <v>0</v>
      </c>
      <c r="Y99" s="270"/>
      <c r="Z99" s="270"/>
      <c r="AB99" s="272" t="str">
        <f t="shared" si="5"/>
        <v/>
      </c>
    </row>
    <row r="100" spans="1:28" s="271" customFormat="1" ht="20.25">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3"/>
        <v/>
      </c>
      <c r="T100" s="224" t="str">
        <f ca="1">IF(B100="","",IF(ISERROR(MATCH($J100,SorP!$B$1:$B$6230,0)),"",INDIRECT("'SorP'!$A$"&amp;MATCH($J100,SorP!$B$1:$B$6230,0))))</f>
        <v/>
      </c>
      <c r="U100" s="239"/>
      <c r="V100" s="269" t="e">
        <f>IF(C100="",NA(),MATCH($B100&amp;$C100,'Smelter Look-up'!$J:$J,0))</f>
        <v>#N/A</v>
      </c>
      <c r="W100" s="270"/>
      <c r="X100" s="270">
        <f t="shared" ca="1" si="4"/>
        <v>0</v>
      </c>
      <c r="Y100" s="270"/>
      <c r="Z100" s="270"/>
      <c r="AB100" s="272" t="str">
        <f t="shared" si="5"/>
        <v/>
      </c>
    </row>
    <row r="101" spans="1:28" s="271" customFormat="1" ht="20.25">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3"/>
        <v/>
      </c>
      <c r="T101" s="224" t="str">
        <f ca="1">IF(B101="","",IF(ISERROR(MATCH($J101,SorP!$B$1:$B$6230,0)),"",INDIRECT("'SorP'!$A$"&amp;MATCH($J101,SorP!$B$1:$B$6230,0))))</f>
        <v/>
      </c>
      <c r="U101" s="239"/>
      <c r="V101" s="269" t="e">
        <f>IF(C101="",NA(),MATCH($B101&amp;$C101,'Smelter Look-up'!$J:$J,0))</f>
        <v>#N/A</v>
      </c>
      <c r="W101" s="270"/>
      <c r="X101" s="270">
        <f t="shared" ca="1" si="4"/>
        <v>0</v>
      </c>
      <c r="Y101" s="270"/>
      <c r="Z101" s="270"/>
      <c r="AB101" s="272" t="str">
        <f t="shared" si="5"/>
        <v/>
      </c>
    </row>
    <row r="102" spans="1:28" s="271" customFormat="1" ht="20.25">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3"/>
        <v/>
      </c>
      <c r="T102" s="224" t="str">
        <f ca="1">IF(B102="","",IF(ISERROR(MATCH($J102,SorP!$B$1:$B$6230,0)),"",INDIRECT("'SorP'!$A$"&amp;MATCH($J102,SorP!$B$1:$B$6230,0))))</f>
        <v/>
      </c>
      <c r="U102" s="239"/>
      <c r="V102" s="269" t="e">
        <f>IF(C102="",NA(),MATCH($B102&amp;$C102,'Smelter Look-up'!$J:$J,0))</f>
        <v>#N/A</v>
      </c>
      <c r="W102" s="270"/>
      <c r="X102" s="270">
        <f t="shared" ca="1" si="4"/>
        <v>0</v>
      </c>
      <c r="Y102" s="270"/>
      <c r="Z102" s="270"/>
      <c r="AB102" s="272" t="str">
        <f t="shared" si="5"/>
        <v/>
      </c>
    </row>
    <row r="103" spans="1:28" s="271" customFormat="1" ht="20.25">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3"/>
        <v/>
      </c>
      <c r="T103" s="224" t="str">
        <f ca="1">IF(B103="","",IF(ISERROR(MATCH($J103,SorP!$B$1:$B$6230,0)),"",INDIRECT("'SorP'!$A$"&amp;MATCH($J103,SorP!$B$1:$B$6230,0))))</f>
        <v/>
      </c>
      <c r="U103" s="239"/>
      <c r="V103" s="269" t="e">
        <f>IF(C103="",NA(),MATCH($B103&amp;$C103,'Smelter Look-up'!$J:$J,0))</f>
        <v>#N/A</v>
      </c>
      <c r="W103" s="270"/>
      <c r="X103" s="270">
        <f t="shared" ca="1" si="4"/>
        <v>0</v>
      </c>
      <c r="Y103" s="270"/>
      <c r="Z103" s="270"/>
      <c r="AB103" s="272" t="str">
        <f t="shared" si="5"/>
        <v/>
      </c>
    </row>
    <row r="104" spans="1:28" s="271" customFormat="1" ht="20.25">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3"/>
        <v/>
      </c>
      <c r="T104" s="224" t="str">
        <f ca="1">IF(B104="","",IF(ISERROR(MATCH($J104,SorP!$B$1:$B$6230,0)),"",INDIRECT("'SorP'!$A$"&amp;MATCH($J104,SorP!$B$1:$B$6230,0))))</f>
        <v/>
      </c>
      <c r="U104" s="239"/>
      <c r="V104" s="269" t="e">
        <f>IF(C104="",NA(),MATCH($B104&amp;$C104,'Smelter Look-up'!$J:$J,0))</f>
        <v>#N/A</v>
      </c>
      <c r="W104" s="270"/>
      <c r="X104" s="270">
        <f t="shared" ca="1" si="4"/>
        <v>0</v>
      </c>
      <c r="Y104" s="270"/>
      <c r="Z104" s="270"/>
      <c r="AB104" s="272" t="str">
        <f t="shared" si="5"/>
        <v/>
      </c>
    </row>
    <row r="105" spans="1:28" s="271" customFormat="1" ht="20.25">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3"/>
        <v/>
      </c>
      <c r="T105" s="224" t="str">
        <f ca="1">IF(B105="","",IF(ISERROR(MATCH($J105,SorP!$B$1:$B$6230,0)),"",INDIRECT("'SorP'!$A$"&amp;MATCH($J105,SorP!$B$1:$B$6230,0))))</f>
        <v/>
      </c>
      <c r="U105" s="239"/>
      <c r="V105" s="269" t="e">
        <f>IF(C105="",NA(),MATCH($B105&amp;$C105,'Smelter Look-up'!$J:$J,0))</f>
        <v>#N/A</v>
      </c>
      <c r="W105" s="270"/>
      <c r="X105" s="270">
        <f t="shared" ca="1" si="4"/>
        <v>0</v>
      </c>
      <c r="Y105" s="270"/>
      <c r="Z105" s="270"/>
      <c r="AB105" s="272" t="str">
        <f t="shared" si="5"/>
        <v/>
      </c>
    </row>
    <row r="106" spans="1:28" s="271" customFormat="1" ht="20.25">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3"/>
        <v/>
      </c>
      <c r="T106" s="224" t="str">
        <f ca="1">IF(B106="","",IF(ISERROR(MATCH($J106,SorP!$B$1:$B$6230,0)),"",INDIRECT("'SorP'!$A$"&amp;MATCH($J106,SorP!$B$1:$B$6230,0))))</f>
        <v/>
      </c>
      <c r="U106" s="239"/>
      <c r="V106" s="269" t="e">
        <f>IF(C106="",NA(),MATCH($B106&amp;$C106,'Smelter Look-up'!$J:$J,0))</f>
        <v>#N/A</v>
      </c>
      <c r="W106" s="270"/>
      <c r="X106" s="270">
        <f t="shared" ca="1" si="4"/>
        <v>0</v>
      </c>
      <c r="Y106" s="270"/>
      <c r="Z106" s="270"/>
      <c r="AB106" s="272" t="str">
        <f t="shared" si="5"/>
        <v/>
      </c>
    </row>
    <row r="107" spans="1:28" s="271" customFormat="1" ht="20.25">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3"/>
        <v/>
      </c>
      <c r="T107" s="224" t="str">
        <f ca="1">IF(B107="","",IF(ISERROR(MATCH($J107,SorP!$B$1:$B$6230,0)),"",INDIRECT("'SorP'!$A$"&amp;MATCH($J107,SorP!$B$1:$B$6230,0))))</f>
        <v/>
      </c>
      <c r="U107" s="239"/>
      <c r="V107" s="269" t="e">
        <f>IF(C107="",NA(),MATCH($B107&amp;$C107,'Smelter Look-up'!$J:$J,0))</f>
        <v>#N/A</v>
      </c>
      <c r="W107" s="270"/>
      <c r="X107" s="270">
        <f t="shared" ca="1" si="4"/>
        <v>0</v>
      </c>
      <c r="Y107" s="270"/>
      <c r="Z107" s="270"/>
      <c r="AB107" s="272" t="str">
        <f t="shared" si="5"/>
        <v/>
      </c>
    </row>
    <row r="108" spans="1:28" s="271" customFormat="1" ht="20.25">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3"/>
        <v/>
      </c>
      <c r="T108" s="224" t="str">
        <f ca="1">IF(B108="","",IF(ISERROR(MATCH($J108,SorP!$B$1:$B$6230,0)),"",INDIRECT("'SorP'!$A$"&amp;MATCH($J108,SorP!$B$1:$B$6230,0))))</f>
        <v/>
      </c>
      <c r="U108" s="239"/>
      <c r="V108" s="269" t="e">
        <f>IF(C108="",NA(),MATCH($B108&amp;$C108,'Smelter Look-up'!$J:$J,0))</f>
        <v>#N/A</v>
      </c>
      <c r="W108" s="270"/>
      <c r="X108" s="270">
        <f t="shared" ca="1" si="4"/>
        <v>0</v>
      </c>
      <c r="Y108" s="270"/>
      <c r="Z108" s="270"/>
      <c r="AB108" s="272" t="str">
        <f t="shared" si="5"/>
        <v/>
      </c>
    </row>
    <row r="109" spans="1:28" s="271" customFormat="1" ht="20.25">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3"/>
        <v/>
      </c>
      <c r="T109" s="224" t="str">
        <f ca="1">IF(B109="","",IF(ISERROR(MATCH($J109,SorP!$B$1:$B$6230,0)),"",INDIRECT("'SorP'!$A$"&amp;MATCH($J109,SorP!$B$1:$B$6230,0))))</f>
        <v/>
      </c>
      <c r="U109" s="239"/>
      <c r="V109" s="269" t="e">
        <f>IF(C109="",NA(),MATCH($B109&amp;$C109,'Smelter Look-up'!$J:$J,0))</f>
        <v>#N/A</v>
      </c>
      <c r="W109" s="270"/>
      <c r="X109" s="270">
        <f t="shared" ca="1" si="4"/>
        <v>0</v>
      </c>
      <c r="Y109" s="270"/>
      <c r="Z109" s="270"/>
      <c r="AB109" s="272" t="str">
        <f t="shared" si="5"/>
        <v/>
      </c>
    </row>
    <row r="110" spans="1:28" s="271" customFormat="1" ht="20.25">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3"/>
        <v/>
      </c>
      <c r="T110" s="224" t="str">
        <f ca="1">IF(B110="","",IF(ISERROR(MATCH($J110,SorP!$B$1:$B$6230,0)),"",INDIRECT("'SorP'!$A$"&amp;MATCH($J110,SorP!$B$1:$B$6230,0))))</f>
        <v/>
      </c>
      <c r="U110" s="239"/>
      <c r="V110" s="269" t="e">
        <f>IF(C110="",NA(),MATCH($B110&amp;$C110,'Smelter Look-up'!$J:$J,0))</f>
        <v>#N/A</v>
      </c>
      <c r="W110" s="270"/>
      <c r="X110" s="270">
        <f t="shared" ca="1" si="4"/>
        <v>0</v>
      </c>
      <c r="Y110" s="270"/>
      <c r="Z110" s="270"/>
      <c r="AB110" s="272" t="str">
        <f t="shared" si="5"/>
        <v/>
      </c>
    </row>
    <row r="111" spans="1:28" s="271" customFormat="1" ht="20.25">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3"/>
        <v/>
      </c>
      <c r="T111" s="224" t="str">
        <f ca="1">IF(B111="","",IF(ISERROR(MATCH($J111,SorP!$B$1:$B$6230,0)),"",INDIRECT("'SorP'!$A$"&amp;MATCH($J111,SorP!$B$1:$B$6230,0))))</f>
        <v/>
      </c>
      <c r="U111" s="239"/>
      <c r="V111" s="269" t="e">
        <f>IF(C111="",NA(),MATCH($B111&amp;$C111,'Smelter Look-up'!$J:$J,0))</f>
        <v>#N/A</v>
      </c>
      <c r="W111" s="270"/>
      <c r="X111" s="270">
        <f t="shared" ca="1" si="4"/>
        <v>0</v>
      </c>
      <c r="Y111" s="270"/>
      <c r="Z111" s="270"/>
      <c r="AB111" s="272" t="str">
        <f t="shared" si="5"/>
        <v/>
      </c>
    </row>
    <row r="112" spans="1:28" s="271" customFormat="1" ht="20.25">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3"/>
        <v/>
      </c>
      <c r="T112" s="224" t="str">
        <f ca="1">IF(B112="","",IF(ISERROR(MATCH($J112,SorP!$B$1:$B$6230,0)),"",INDIRECT("'SorP'!$A$"&amp;MATCH($J112,SorP!$B$1:$B$6230,0))))</f>
        <v/>
      </c>
      <c r="U112" s="239"/>
      <c r="V112" s="269" t="e">
        <f>IF(C112="",NA(),MATCH($B112&amp;$C112,'Smelter Look-up'!$J:$J,0))</f>
        <v>#N/A</v>
      </c>
      <c r="W112" s="270"/>
      <c r="X112" s="270">
        <f t="shared" ca="1" si="4"/>
        <v>0</v>
      </c>
      <c r="Y112" s="270"/>
      <c r="Z112" s="270"/>
      <c r="AB112" s="272" t="str">
        <f t="shared" si="5"/>
        <v/>
      </c>
    </row>
    <row r="113" spans="1:28" s="271" customFormat="1" ht="20.25">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3"/>
        <v/>
      </c>
      <c r="T113" s="224" t="str">
        <f ca="1">IF(B113="","",IF(ISERROR(MATCH($J113,SorP!$B$1:$B$6230,0)),"",INDIRECT("'SorP'!$A$"&amp;MATCH($J113,SorP!$B$1:$B$6230,0))))</f>
        <v/>
      </c>
      <c r="U113" s="239"/>
      <c r="V113" s="269" t="e">
        <f>IF(C113="",NA(),MATCH($B113&amp;$C113,'Smelter Look-up'!$J:$J,0))</f>
        <v>#N/A</v>
      </c>
      <c r="W113" s="270"/>
      <c r="X113" s="270">
        <f t="shared" ca="1" si="4"/>
        <v>0</v>
      </c>
      <c r="Y113" s="270"/>
      <c r="Z113" s="270"/>
      <c r="AB113" s="272" t="str">
        <f t="shared" si="5"/>
        <v/>
      </c>
    </row>
    <row r="114" spans="1:28" s="271" customFormat="1" ht="20.25">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3"/>
        <v/>
      </c>
      <c r="T114" s="224" t="str">
        <f ca="1">IF(B114="","",IF(ISERROR(MATCH($J114,SorP!$B$1:$B$6230,0)),"",INDIRECT("'SorP'!$A$"&amp;MATCH($J114,SorP!$B$1:$B$6230,0))))</f>
        <v/>
      </c>
      <c r="U114" s="239"/>
      <c r="V114" s="269" t="e">
        <f>IF(C114="",NA(),MATCH($B114&amp;$C114,'Smelter Look-up'!$J:$J,0))</f>
        <v>#N/A</v>
      </c>
      <c r="W114" s="270"/>
      <c r="X114" s="270">
        <f t="shared" ca="1" si="4"/>
        <v>0</v>
      </c>
      <c r="Y114" s="270"/>
      <c r="Z114" s="270"/>
      <c r="AB114" s="272" t="str">
        <f t="shared" si="5"/>
        <v/>
      </c>
    </row>
    <row r="115" spans="1:28" s="271" customFormat="1" ht="20.25">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3"/>
        <v/>
      </c>
      <c r="T115" s="224" t="str">
        <f ca="1">IF(B115="","",IF(ISERROR(MATCH($J115,SorP!$B$1:$B$6230,0)),"",INDIRECT("'SorP'!$A$"&amp;MATCH($J115,SorP!$B$1:$B$6230,0))))</f>
        <v/>
      </c>
      <c r="U115" s="239"/>
      <c r="V115" s="269" t="e">
        <f>IF(C115="",NA(),MATCH($B115&amp;$C115,'Smelter Look-up'!$J:$J,0))</f>
        <v>#N/A</v>
      </c>
      <c r="W115" s="270"/>
      <c r="X115" s="270">
        <f t="shared" ca="1" si="4"/>
        <v>0</v>
      </c>
      <c r="Y115" s="270"/>
      <c r="Z115" s="270"/>
      <c r="AB115" s="272" t="str">
        <f t="shared" si="5"/>
        <v/>
      </c>
    </row>
    <row r="116" spans="1:28" s="271" customFormat="1" ht="20.25">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3"/>
        <v/>
      </c>
      <c r="T116" s="224" t="str">
        <f ca="1">IF(B116="","",IF(ISERROR(MATCH($J116,SorP!$B$1:$B$6230,0)),"",INDIRECT("'SorP'!$A$"&amp;MATCH($J116,SorP!$B$1:$B$6230,0))))</f>
        <v/>
      </c>
      <c r="U116" s="239"/>
      <c r="V116" s="269" t="e">
        <f>IF(C116="",NA(),MATCH($B116&amp;$C116,'Smelter Look-up'!$J:$J,0))</f>
        <v>#N/A</v>
      </c>
      <c r="W116" s="270"/>
      <c r="X116" s="270">
        <f t="shared" ca="1" si="4"/>
        <v>0</v>
      </c>
      <c r="Y116" s="270"/>
      <c r="Z116" s="270"/>
      <c r="AB116" s="272" t="str">
        <f t="shared" si="5"/>
        <v/>
      </c>
    </row>
    <row r="117" spans="1:28" s="271" customFormat="1" ht="20.25">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3"/>
        <v/>
      </c>
      <c r="T117" s="224" t="str">
        <f ca="1">IF(B117="","",IF(ISERROR(MATCH($J117,SorP!$B$1:$B$6230,0)),"",INDIRECT("'SorP'!$A$"&amp;MATCH($J117,SorP!$B$1:$B$6230,0))))</f>
        <v/>
      </c>
      <c r="U117" s="239"/>
      <c r="V117" s="269" t="e">
        <f>IF(C117="",NA(),MATCH($B117&amp;$C117,'Smelter Look-up'!$J:$J,0))</f>
        <v>#N/A</v>
      </c>
      <c r="W117" s="270"/>
      <c r="X117" s="270">
        <f t="shared" ca="1" si="4"/>
        <v>0</v>
      </c>
      <c r="Y117" s="270"/>
      <c r="Z117" s="270"/>
      <c r="AB117" s="272" t="str">
        <f t="shared" si="5"/>
        <v/>
      </c>
    </row>
    <row r="118" spans="1:28" s="271" customFormat="1" ht="20.25">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3"/>
        <v/>
      </c>
      <c r="T118" s="224" t="str">
        <f ca="1">IF(B118="","",IF(ISERROR(MATCH($J118,SorP!$B$1:$B$6230,0)),"",INDIRECT("'SorP'!$A$"&amp;MATCH($J118,SorP!$B$1:$B$6230,0))))</f>
        <v/>
      </c>
      <c r="U118" s="239"/>
      <c r="V118" s="269" t="e">
        <f>IF(C118="",NA(),MATCH($B118&amp;$C118,'Smelter Look-up'!$J:$J,0))</f>
        <v>#N/A</v>
      </c>
      <c r="W118" s="270"/>
      <c r="X118" s="270">
        <f t="shared" ca="1" si="4"/>
        <v>0</v>
      </c>
      <c r="Y118" s="270"/>
      <c r="Z118" s="270"/>
      <c r="AB118" s="272" t="str">
        <f t="shared" si="5"/>
        <v/>
      </c>
    </row>
    <row r="119" spans="1:28" s="271" customFormat="1" ht="20.25">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3"/>
        <v/>
      </c>
      <c r="T119" s="224" t="str">
        <f ca="1">IF(B119="","",IF(ISERROR(MATCH($J119,SorP!$B$1:$B$6230,0)),"",INDIRECT("'SorP'!$A$"&amp;MATCH($J119,SorP!$B$1:$B$6230,0))))</f>
        <v/>
      </c>
      <c r="U119" s="239"/>
      <c r="V119" s="269" t="e">
        <f>IF(C119="",NA(),MATCH($B119&amp;$C119,'Smelter Look-up'!$J:$J,0))</f>
        <v>#N/A</v>
      </c>
      <c r="W119" s="270"/>
      <c r="X119" s="270">
        <f t="shared" ca="1" si="4"/>
        <v>0</v>
      </c>
      <c r="Y119" s="270"/>
      <c r="Z119" s="270"/>
      <c r="AB119" s="272" t="str">
        <f t="shared" si="5"/>
        <v/>
      </c>
    </row>
    <row r="120" spans="1:28" s="271" customFormat="1" ht="20.25">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3"/>
        <v/>
      </c>
      <c r="T120" s="224" t="str">
        <f ca="1">IF(B120="","",IF(ISERROR(MATCH($J120,SorP!$B$1:$B$6230,0)),"",INDIRECT("'SorP'!$A$"&amp;MATCH($J120,SorP!$B$1:$B$6230,0))))</f>
        <v/>
      </c>
      <c r="U120" s="239"/>
      <c r="V120" s="269" t="e">
        <f>IF(C120="",NA(),MATCH($B120&amp;$C120,'Smelter Look-up'!$J:$J,0))</f>
        <v>#N/A</v>
      </c>
      <c r="W120" s="270"/>
      <c r="X120" s="270">
        <f t="shared" ca="1" si="4"/>
        <v>0</v>
      </c>
      <c r="Y120" s="270"/>
      <c r="Z120" s="270"/>
      <c r="AB120" s="272" t="str">
        <f t="shared" si="5"/>
        <v/>
      </c>
    </row>
    <row r="121" spans="1:28" s="271" customFormat="1" ht="20.25">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3"/>
        <v/>
      </c>
      <c r="T121" s="224" t="str">
        <f ca="1">IF(B121="","",IF(ISERROR(MATCH($J121,SorP!$B$1:$B$6230,0)),"",INDIRECT("'SorP'!$A$"&amp;MATCH($J121,SorP!$B$1:$B$6230,0))))</f>
        <v/>
      </c>
      <c r="U121" s="239"/>
      <c r="V121" s="269" t="e">
        <f>IF(C121="",NA(),MATCH($B121&amp;$C121,'Smelter Look-up'!$J:$J,0))</f>
        <v>#N/A</v>
      </c>
      <c r="W121" s="270"/>
      <c r="X121" s="270">
        <f t="shared" ca="1" si="4"/>
        <v>0</v>
      </c>
      <c r="Y121" s="270"/>
      <c r="Z121" s="270"/>
      <c r="AB121" s="272" t="str">
        <f t="shared" si="5"/>
        <v/>
      </c>
    </row>
    <row r="122" spans="1:28" s="271" customFormat="1" ht="20.25">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3"/>
        <v/>
      </c>
      <c r="T122" s="224" t="str">
        <f ca="1">IF(B122="","",IF(ISERROR(MATCH($J122,SorP!$B$1:$B$6230,0)),"",INDIRECT("'SorP'!$A$"&amp;MATCH($J122,SorP!$B$1:$B$6230,0))))</f>
        <v/>
      </c>
      <c r="U122" s="239"/>
      <c r="V122" s="269" t="e">
        <f>IF(C122="",NA(),MATCH($B122&amp;$C122,'Smelter Look-up'!$J:$J,0))</f>
        <v>#N/A</v>
      </c>
      <c r="W122" s="270"/>
      <c r="X122" s="270">
        <f t="shared" ca="1" si="4"/>
        <v>0</v>
      </c>
      <c r="Y122" s="270"/>
      <c r="Z122" s="270"/>
      <c r="AB122" s="272" t="str">
        <f t="shared" si="5"/>
        <v/>
      </c>
    </row>
    <row r="123" spans="1:28" s="271" customFormat="1" ht="20.25">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3"/>
        <v/>
      </c>
      <c r="T123" s="224" t="str">
        <f ca="1">IF(B123="","",IF(ISERROR(MATCH($J123,SorP!$B$1:$B$6230,0)),"",INDIRECT("'SorP'!$A$"&amp;MATCH($J123,SorP!$B$1:$B$6230,0))))</f>
        <v/>
      </c>
      <c r="U123" s="239"/>
      <c r="V123" s="269" t="e">
        <f>IF(C123="",NA(),MATCH($B123&amp;$C123,'Smelter Look-up'!$J:$J,0))</f>
        <v>#N/A</v>
      </c>
      <c r="W123" s="270"/>
      <c r="X123" s="270">
        <f t="shared" ca="1" si="4"/>
        <v>0</v>
      </c>
      <c r="Y123" s="270"/>
      <c r="Z123" s="270"/>
      <c r="AB123" s="272" t="str">
        <f t="shared" si="5"/>
        <v/>
      </c>
    </row>
    <row r="124" spans="1:28" s="271" customFormat="1" ht="20.25">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3"/>
        <v/>
      </c>
      <c r="T124" s="224" t="str">
        <f ca="1">IF(B124="","",IF(ISERROR(MATCH($J124,SorP!$B$1:$B$6230,0)),"",INDIRECT("'SorP'!$A$"&amp;MATCH($J124,SorP!$B$1:$B$6230,0))))</f>
        <v/>
      </c>
      <c r="U124" s="239"/>
      <c r="V124" s="269" t="e">
        <f>IF(C124="",NA(),MATCH($B124&amp;$C124,'Smelter Look-up'!$J:$J,0))</f>
        <v>#N/A</v>
      </c>
      <c r="W124" s="270"/>
      <c r="X124" s="270">
        <f t="shared" ca="1" si="4"/>
        <v>0</v>
      </c>
      <c r="Y124" s="270"/>
      <c r="Z124" s="270"/>
      <c r="AB124" s="272" t="str">
        <f t="shared" si="5"/>
        <v/>
      </c>
    </row>
    <row r="125" spans="1:28" s="271" customFormat="1" ht="20.25">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3"/>
        <v/>
      </c>
      <c r="T125" s="224" t="str">
        <f ca="1">IF(B125="","",IF(ISERROR(MATCH($J125,SorP!$B$1:$B$6230,0)),"",INDIRECT("'SorP'!$A$"&amp;MATCH($J125,SorP!$B$1:$B$6230,0))))</f>
        <v/>
      </c>
      <c r="U125" s="239"/>
      <c r="V125" s="269" t="e">
        <f>IF(C125="",NA(),MATCH($B125&amp;$C125,'Smelter Look-up'!$J:$J,0))</f>
        <v>#N/A</v>
      </c>
      <c r="W125" s="270"/>
      <c r="X125" s="270">
        <f t="shared" ca="1" si="4"/>
        <v>0</v>
      </c>
      <c r="Y125" s="270"/>
      <c r="Z125" s="270"/>
      <c r="AB125" s="272" t="str">
        <f t="shared" si="5"/>
        <v/>
      </c>
    </row>
    <row r="126" spans="1:28" s="271" customFormat="1" ht="20.25">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3"/>
        <v/>
      </c>
      <c r="T126" s="224" t="str">
        <f ca="1">IF(B126="","",IF(ISERROR(MATCH($J126,SorP!$B$1:$B$6230,0)),"",INDIRECT("'SorP'!$A$"&amp;MATCH($J126,SorP!$B$1:$B$6230,0))))</f>
        <v/>
      </c>
      <c r="U126" s="239"/>
      <c r="V126" s="269" t="e">
        <f>IF(C126="",NA(),MATCH($B126&amp;$C126,'Smelter Look-up'!$J:$J,0))</f>
        <v>#N/A</v>
      </c>
      <c r="W126" s="270"/>
      <c r="X126" s="270">
        <f t="shared" ca="1" si="4"/>
        <v>0</v>
      </c>
      <c r="Y126" s="270"/>
      <c r="Z126" s="270"/>
      <c r="AB126" s="272" t="str">
        <f t="shared" si="5"/>
        <v/>
      </c>
    </row>
    <row r="127" spans="1:28" s="271" customFormat="1" ht="20.25">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3"/>
        <v/>
      </c>
      <c r="T127" s="224" t="str">
        <f ca="1">IF(B127="","",IF(ISERROR(MATCH($J127,SorP!$B$1:$B$6230,0)),"",INDIRECT("'SorP'!$A$"&amp;MATCH($J127,SorP!$B$1:$B$6230,0))))</f>
        <v/>
      </c>
      <c r="U127" s="239"/>
      <c r="V127" s="269" t="e">
        <f>IF(C127="",NA(),MATCH($B127&amp;$C127,'Smelter Look-up'!$J:$J,0))</f>
        <v>#N/A</v>
      </c>
      <c r="W127" s="270"/>
      <c r="X127" s="270">
        <f t="shared" ca="1" si="4"/>
        <v>0</v>
      </c>
      <c r="Y127" s="270"/>
      <c r="Z127" s="270"/>
      <c r="AB127" s="272" t="str">
        <f t="shared" si="5"/>
        <v/>
      </c>
    </row>
    <row r="128" spans="1:28" s="271" customFormat="1" ht="20.25">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3"/>
        <v/>
      </c>
      <c r="T128" s="224" t="str">
        <f ca="1">IF(B128="","",IF(ISERROR(MATCH($J128,SorP!$B$1:$B$6230,0)),"",INDIRECT("'SorP'!$A$"&amp;MATCH($J128,SorP!$B$1:$B$6230,0))))</f>
        <v/>
      </c>
      <c r="U128" s="239"/>
      <c r="V128" s="269" t="e">
        <f>IF(C128="",NA(),MATCH($B128&amp;$C128,'Smelter Look-up'!$J:$J,0))</f>
        <v>#N/A</v>
      </c>
      <c r="W128" s="270"/>
      <c r="X128" s="270">
        <f t="shared" ca="1" si="4"/>
        <v>0</v>
      </c>
      <c r="Y128" s="270"/>
      <c r="Z128" s="270"/>
      <c r="AB128" s="272" t="str">
        <f t="shared" si="5"/>
        <v/>
      </c>
    </row>
    <row r="129" spans="1:28" s="271" customFormat="1" ht="20.25">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3"/>
        <v/>
      </c>
      <c r="T129" s="224" t="str">
        <f ca="1">IF(B129="","",IF(ISERROR(MATCH($J129,SorP!$B$1:$B$6230,0)),"",INDIRECT("'SorP'!$A$"&amp;MATCH($J129,SorP!$B$1:$B$6230,0))))</f>
        <v/>
      </c>
      <c r="U129" s="239"/>
      <c r="V129" s="269" t="e">
        <f>IF(C129="",NA(),MATCH($B129&amp;$C129,'Smelter Look-up'!$J:$J,0))</f>
        <v>#N/A</v>
      </c>
      <c r="W129" s="270"/>
      <c r="X129" s="270">
        <f t="shared" ca="1" si="4"/>
        <v>0</v>
      </c>
      <c r="Y129" s="270"/>
      <c r="Z129" s="270"/>
      <c r="AB129" s="272" t="str">
        <f t="shared" si="5"/>
        <v/>
      </c>
    </row>
    <row r="130" spans="1:28" s="271" customFormat="1" ht="20.25">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3"/>
        <v/>
      </c>
      <c r="T130" s="224" t="str">
        <f ca="1">IF(B130="","",IF(ISERROR(MATCH($J130,SorP!$B$1:$B$6230,0)),"",INDIRECT("'SorP'!$A$"&amp;MATCH($J130,SorP!$B$1:$B$6230,0))))</f>
        <v/>
      </c>
      <c r="U130" s="239"/>
      <c r="V130" s="269" t="e">
        <f>IF(C130="",NA(),MATCH($B130&amp;$C130,'Smelter Look-up'!$J:$J,0))</f>
        <v>#N/A</v>
      </c>
      <c r="W130" s="270"/>
      <c r="X130" s="270">
        <f t="shared" ca="1" si="4"/>
        <v>0</v>
      </c>
      <c r="Y130" s="270"/>
      <c r="Z130" s="270"/>
      <c r="AB130" s="272" t="str">
        <f t="shared" si="5"/>
        <v/>
      </c>
    </row>
    <row r="131" spans="1:28" s="271" customFormat="1" ht="20.25">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3"/>
        <v/>
      </c>
      <c r="T131" s="224" t="str">
        <f ca="1">IF(B131="","",IF(ISERROR(MATCH($J131,SorP!$B$1:$B$6230,0)),"",INDIRECT("'SorP'!$A$"&amp;MATCH($J131,SorP!$B$1:$B$6230,0))))</f>
        <v/>
      </c>
      <c r="U131" s="239"/>
      <c r="V131" s="269" t="e">
        <f>IF(C131="",NA(),MATCH($B131&amp;$C131,'Smelter Look-up'!$J:$J,0))</f>
        <v>#N/A</v>
      </c>
      <c r="W131" s="270"/>
      <c r="X131" s="270">
        <f t="shared" ca="1" si="4"/>
        <v>0</v>
      </c>
      <c r="Y131" s="270"/>
      <c r="Z131" s="270"/>
      <c r="AB131" s="272" t="str">
        <f t="shared" si="5"/>
        <v/>
      </c>
    </row>
    <row r="132" spans="1:28" s="271" customFormat="1" ht="20.25">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3"/>
        <v/>
      </c>
      <c r="T132" s="224" t="str">
        <f ca="1">IF(B132="","",IF(ISERROR(MATCH($J132,SorP!$B$1:$B$6230,0)),"",INDIRECT("'SorP'!$A$"&amp;MATCH($J132,SorP!$B$1:$B$6230,0))))</f>
        <v/>
      </c>
      <c r="U132" s="239"/>
      <c r="V132" s="269" t="e">
        <f>IF(C132="",NA(),MATCH($B132&amp;$C132,'Smelter Look-up'!$J:$J,0))</f>
        <v>#N/A</v>
      </c>
      <c r="W132" s="270"/>
      <c r="X132" s="270">
        <f t="shared" ca="1" si="4"/>
        <v>0</v>
      </c>
      <c r="Y132" s="270"/>
      <c r="Z132" s="270"/>
      <c r="AB132" s="272" t="str">
        <f t="shared" si="5"/>
        <v/>
      </c>
    </row>
    <row r="133" spans="1:28" s="271" customFormat="1" ht="20.25">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ref="S133:S196" ca="1" si="6">IF(B133="","",IF(ISERROR(MATCH($E133,CL,0)),"Unknown",INDIRECT("'C'!$A$"&amp;MATCH($E133,CL,0)+1)))</f>
        <v/>
      </c>
      <c r="T133" s="224" t="str">
        <f ca="1">IF(B133="","",IF(ISERROR(MATCH($J133,SorP!$B$1:$B$6230,0)),"",INDIRECT("'SorP'!$A$"&amp;MATCH($J133,SorP!$B$1:$B$6230,0))))</f>
        <v/>
      </c>
      <c r="U133" s="239"/>
      <c r="V133" s="269" t="e">
        <f>IF(C133="",NA(),MATCH($B133&amp;$C133,'Smelter Look-up'!$J:$J,0))</f>
        <v>#N/A</v>
      </c>
      <c r="W133" s="270"/>
      <c r="X133" s="270">
        <f t="shared" ref="X133:X196" ca="1" si="7">IF(AND(C133="Smelter not listed",OR(LEN(D133)=0,LEN(E133)=0)),1,0)</f>
        <v>0</v>
      </c>
      <c r="Y133" s="270"/>
      <c r="Z133" s="270"/>
      <c r="AB133" s="272" t="str">
        <f t="shared" ref="AB133:AB196" si="8">B133&amp;C133</f>
        <v/>
      </c>
    </row>
    <row r="134" spans="1:28" s="271" customFormat="1" ht="20.25">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6"/>
        <v/>
      </c>
      <c r="T134" s="224" t="str">
        <f ca="1">IF(B134="","",IF(ISERROR(MATCH($J134,SorP!$B$1:$B$6230,0)),"",INDIRECT("'SorP'!$A$"&amp;MATCH($J134,SorP!$B$1:$B$6230,0))))</f>
        <v/>
      </c>
      <c r="U134" s="239"/>
      <c r="V134" s="269" t="e">
        <f>IF(C134="",NA(),MATCH($B134&amp;$C134,'Smelter Look-up'!$J:$J,0))</f>
        <v>#N/A</v>
      </c>
      <c r="W134" s="270"/>
      <c r="X134" s="270">
        <f t="shared" ca="1" si="7"/>
        <v>0</v>
      </c>
      <c r="Y134" s="270"/>
      <c r="Z134" s="270"/>
      <c r="AB134" s="272" t="str">
        <f t="shared" si="8"/>
        <v/>
      </c>
    </row>
    <row r="135" spans="1:28" s="271" customFormat="1" ht="20.25">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6"/>
        <v/>
      </c>
      <c r="T135" s="224" t="str">
        <f ca="1">IF(B135="","",IF(ISERROR(MATCH($J135,SorP!$B$1:$B$6230,0)),"",INDIRECT("'SorP'!$A$"&amp;MATCH($J135,SorP!$B$1:$B$6230,0))))</f>
        <v/>
      </c>
      <c r="U135" s="239"/>
      <c r="V135" s="269" t="e">
        <f>IF(C135="",NA(),MATCH($B135&amp;$C135,'Smelter Look-up'!$J:$J,0))</f>
        <v>#N/A</v>
      </c>
      <c r="W135" s="270"/>
      <c r="X135" s="270">
        <f t="shared" ca="1" si="7"/>
        <v>0</v>
      </c>
      <c r="Y135" s="270"/>
      <c r="Z135" s="270"/>
      <c r="AB135" s="272" t="str">
        <f t="shared" si="8"/>
        <v/>
      </c>
    </row>
    <row r="136" spans="1:28" s="271" customFormat="1" ht="20.25">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6"/>
        <v/>
      </c>
      <c r="T136" s="224" t="str">
        <f ca="1">IF(B136="","",IF(ISERROR(MATCH($J136,SorP!$B$1:$B$6230,0)),"",INDIRECT("'SorP'!$A$"&amp;MATCH($J136,SorP!$B$1:$B$6230,0))))</f>
        <v/>
      </c>
      <c r="U136" s="239"/>
      <c r="V136" s="269" t="e">
        <f>IF(C136="",NA(),MATCH($B136&amp;$C136,'Smelter Look-up'!$J:$J,0))</f>
        <v>#N/A</v>
      </c>
      <c r="W136" s="270"/>
      <c r="X136" s="270">
        <f t="shared" ca="1" si="7"/>
        <v>0</v>
      </c>
      <c r="Y136" s="270"/>
      <c r="Z136" s="270"/>
      <c r="AB136" s="272" t="str">
        <f t="shared" si="8"/>
        <v/>
      </c>
    </row>
    <row r="137" spans="1:28" s="271" customFormat="1" ht="20.25">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6"/>
        <v/>
      </c>
      <c r="T137" s="224" t="str">
        <f ca="1">IF(B137="","",IF(ISERROR(MATCH($J137,SorP!$B$1:$B$6230,0)),"",INDIRECT("'SorP'!$A$"&amp;MATCH($J137,SorP!$B$1:$B$6230,0))))</f>
        <v/>
      </c>
      <c r="U137" s="239"/>
      <c r="V137" s="269" t="e">
        <f>IF(C137="",NA(),MATCH($B137&amp;$C137,'Smelter Look-up'!$J:$J,0))</f>
        <v>#N/A</v>
      </c>
      <c r="W137" s="270"/>
      <c r="X137" s="270">
        <f t="shared" ca="1" si="7"/>
        <v>0</v>
      </c>
      <c r="Y137" s="270"/>
      <c r="Z137" s="270"/>
      <c r="AB137" s="272" t="str">
        <f t="shared" si="8"/>
        <v/>
      </c>
    </row>
    <row r="138" spans="1:28" s="271" customFormat="1" ht="20.25">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6"/>
        <v/>
      </c>
      <c r="T138" s="224" t="str">
        <f ca="1">IF(B138="","",IF(ISERROR(MATCH($J138,SorP!$B$1:$B$6230,0)),"",INDIRECT("'SorP'!$A$"&amp;MATCH($J138,SorP!$B$1:$B$6230,0))))</f>
        <v/>
      </c>
      <c r="U138" s="239"/>
      <c r="V138" s="269" t="e">
        <f>IF(C138="",NA(),MATCH($B138&amp;$C138,'Smelter Look-up'!$J:$J,0))</f>
        <v>#N/A</v>
      </c>
      <c r="W138" s="270"/>
      <c r="X138" s="270">
        <f t="shared" ca="1" si="7"/>
        <v>0</v>
      </c>
      <c r="Y138" s="270"/>
      <c r="Z138" s="270"/>
      <c r="AB138" s="272" t="str">
        <f t="shared" si="8"/>
        <v/>
      </c>
    </row>
    <row r="139" spans="1:28" s="271" customFormat="1" ht="20.25">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6"/>
        <v/>
      </c>
      <c r="T139" s="224" t="str">
        <f ca="1">IF(B139="","",IF(ISERROR(MATCH($J139,SorP!$B$1:$B$6230,0)),"",INDIRECT("'SorP'!$A$"&amp;MATCH($J139,SorP!$B$1:$B$6230,0))))</f>
        <v/>
      </c>
      <c r="U139" s="239"/>
      <c r="V139" s="269" t="e">
        <f>IF(C139="",NA(),MATCH($B139&amp;$C139,'Smelter Look-up'!$J:$J,0))</f>
        <v>#N/A</v>
      </c>
      <c r="W139" s="270"/>
      <c r="X139" s="270">
        <f t="shared" ca="1" si="7"/>
        <v>0</v>
      </c>
      <c r="Y139" s="270"/>
      <c r="Z139" s="270"/>
      <c r="AB139" s="272" t="str">
        <f t="shared" si="8"/>
        <v/>
      </c>
    </row>
    <row r="140" spans="1:28" s="271" customFormat="1" ht="20.25">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6"/>
        <v/>
      </c>
      <c r="T140" s="224" t="str">
        <f ca="1">IF(B140="","",IF(ISERROR(MATCH($J140,SorP!$B$1:$B$6230,0)),"",INDIRECT("'SorP'!$A$"&amp;MATCH($J140,SorP!$B$1:$B$6230,0))))</f>
        <v/>
      </c>
      <c r="U140" s="239"/>
      <c r="V140" s="269" t="e">
        <f>IF(C140="",NA(),MATCH($B140&amp;$C140,'Smelter Look-up'!$J:$J,0))</f>
        <v>#N/A</v>
      </c>
      <c r="W140" s="270"/>
      <c r="X140" s="270">
        <f t="shared" ca="1" si="7"/>
        <v>0</v>
      </c>
      <c r="Y140" s="270"/>
      <c r="Z140" s="270"/>
      <c r="AB140" s="272" t="str">
        <f t="shared" si="8"/>
        <v/>
      </c>
    </row>
    <row r="141" spans="1:28" s="271" customFormat="1" ht="20.25">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6"/>
        <v/>
      </c>
      <c r="T141" s="224" t="str">
        <f ca="1">IF(B141="","",IF(ISERROR(MATCH($J141,SorP!$B$1:$B$6230,0)),"",INDIRECT("'SorP'!$A$"&amp;MATCH($J141,SorP!$B$1:$B$6230,0))))</f>
        <v/>
      </c>
      <c r="U141" s="239"/>
      <c r="V141" s="269" t="e">
        <f>IF(C141="",NA(),MATCH($B141&amp;$C141,'Smelter Look-up'!$J:$J,0))</f>
        <v>#N/A</v>
      </c>
      <c r="W141" s="270"/>
      <c r="X141" s="270">
        <f t="shared" ca="1" si="7"/>
        <v>0</v>
      </c>
      <c r="Y141" s="270"/>
      <c r="Z141" s="270"/>
      <c r="AB141" s="272" t="str">
        <f t="shared" si="8"/>
        <v/>
      </c>
    </row>
    <row r="142" spans="1:28" s="271" customFormat="1" ht="20.25">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6"/>
        <v/>
      </c>
      <c r="T142" s="224" t="str">
        <f ca="1">IF(B142="","",IF(ISERROR(MATCH($J142,SorP!$B$1:$B$6230,0)),"",INDIRECT("'SorP'!$A$"&amp;MATCH($J142,SorP!$B$1:$B$6230,0))))</f>
        <v/>
      </c>
      <c r="U142" s="239"/>
      <c r="V142" s="269" t="e">
        <f>IF(C142="",NA(),MATCH($B142&amp;$C142,'Smelter Look-up'!$J:$J,0))</f>
        <v>#N/A</v>
      </c>
      <c r="W142" s="270"/>
      <c r="X142" s="270">
        <f t="shared" ca="1" si="7"/>
        <v>0</v>
      </c>
      <c r="Y142" s="270"/>
      <c r="Z142" s="270"/>
      <c r="AB142" s="272" t="str">
        <f t="shared" si="8"/>
        <v/>
      </c>
    </row>
    <row r="143" spans="1:28" s="271" customFormat="1" ht="20.25">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6"/>
        <v/>
      </c>
      <c r="T143" s="224" t="str">
        <f ca="1">IF(B143="","",IF(ISERROR(MATCH($J143,SorP!$B$1:$B$6230,0)),"",INDIRECT("'SorP'!$A$"&amp;MATCH($J143,SorP!$B$1:$B$6230,0))))</f>
        <v/>
      </c>
      <c r="U143" s="239"/>
      <c r="V143" s="269" t="e">
        <f>IF(C143="",NA(),MATCH($B143&amp;$C143,'Smelter Look-up'!$J:$J,0))</f>
        <v>#N/A</v>
      </c>
      <c r="W143" s="270"/>
      <c r="X143" s="270">
        <f t="shared" ca="1" si="7"/>
        <v>0</v>
      </c>
      <c r="Y143" s="270"/>
      <c r="Z143" s="270"/>
      <c r="AB143" s="272" t="str">
        <f t="shared" si="8"/>
        <v/>
      </c>
    </row>
    <row r="144" spans="1:28" s="271" customFormat="1" ht="20.25">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6"/>
        <v/>
      </c>
      <c r="T144" s="224" t="str">
        <f ca="1">IF(B144="","",IF(ISERROR(MATCH($J144,SorP!$B$1:$B$6230,0)),"",INDIRECT("'SorP'!$A$"&amp;MATCH($J144,SorP!$B$1:$B$6230,0))))</f>
        <v/>
      </c>
      <c r="U144" s="239"/>
      <c r="V144" s="269" t="e">
        <f>IF(C144="",NA(),MATCH($B144&amp;$C144,'Smelter Look-up'!$J:$J,0))</f>
        <v>#N/A</v>
      </c>
      <c r="W144" s="270"/>
      <c r="X144" s="270">
        <f t="shared" ca="1" si="7"/>
        <v>0</v>
      </c>
      <c r="Y144" s="270"/>
      <c r="Z144" s="270"/>
      <c r="AB144" s="272" t="str">
        <f t="shared" si="8"/>
        <v/>
      </c>
    </row>
    <row r="145" spans="1:28" s="271" customFormat="1" ht="20.25">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6"/>
        <v/>
      </c>
      <c r="T145" s="224" t="str">
        <f ca="1">IF(B145="","",IF(ISERROR(MATCH($J145,SorP!$B$1:$B$6230,0)),"",INDIRECT("'SorP'!$A$"&amp;MATCH($J145,SorP!$B$1:$B$6230,0))))</f>
        <v/>
      </c>
      <c r="U145" s="239"/>
      <c r="V145" s="269" t="e">
        <f>IF(C145="",NA(),MATCH($B145&amp;$C145,'Smelter Look-up'!$J:$J,0))</f>
        <v>#N/A</v>
      </c>
      <c r="W145" s="270"/>
      <c r="X145" s="270">
        <f t="shared" ca="1" si="7"/>
        <v>0</v>
      </c>
      <c r="Y145" s="270"/>
      <c r="Z145" s="270"/>
      <c r="AB145" s="272" t="str">
        <f t="shared" si="8"/>
        <v/>
      </c>
    </row>
    <row r="146" spans="1:28" s="271" customFormat="1" ht="20.25">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6"/>
        <v/>
      </c>
      <c r="T146" s="224" t="str">
        <f ca="1">IF(B146="","",IF(ISERROR(MATCH($J146,SorP!$B$1:$B$6230,0)),"",INDIRECT("'SorP'!$A$"&amp;MATCH($J146,SorP!$B$1:$B$6230,0))))</f>
        <v/>
      </c>
      <c r="U146" s="239"/>
      <c r="V146" s="269" t="e">
        <f>IF(C146="",NA(),MATCH($B146&amp;$C146,'Smelter Look-up'!$J:$J,0))</f>
        <v>#N/A</v>
      </c>
      <c r="W146" s="270"/>
      <c r="X146" s="270">
        <f t="shared" ca="1" si="7"/>
        <v>0</v>
      </c>
      <c r="Y146" s="270"/>
      <c r="Z146" s="270"/>
      <c r="AB146" s="272" t="str">
        <f t="shared" si="8"/>
        <v/>
      </c>
    </row>
    <row r="147" spans="1:28" s="271" customFormat="1" ht="20.25">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6"/>
        <v/>
      </c>
      <c r="T147" s="224" t="str">
        <f ca="1">IF(B147="","",IF(ISERROR(MATCH($J147,SorP!$B$1:$B$6230,0)),"",INDIRECT("'SorP'!$A$"&amp;MATCH($J147,SorP!$B$1:$B$6230,0))))</f>
        <v/>
      </c>
      <c r="U147" s="239"/>
      <c r="V147" s="269" t="e">
        <f>IF(C147="",NA(),MATCH($B147&amp;$C147,'Smelter Look-up'!$J:$J,0))</f>
        <v>#N/A</v>
      </c>
      <c r="W147" s="270"/>
      <c r="X147" s="270">
        <f t="shared" ca="1" si="7"/>
        <v>0</v>
      </c>
      <c r="Y147" s="270"/>
      <c r="Z147" s="270"/>
      <c r="AB147" s="272" t="str">
        <f t="shared" si="8"/>
        <v/>
      </c>
    </row>
    <row r="148" spans="1:28" s="271" customFormat="1" ht="20.25">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6"/>
        <v/>
      </c>
      <c r="T148" s="224" t="str">
        <f ca="1">IF(B148="","",IF(ISERROR(MATCH($J148,SorP!$B$1:$B$6230,0)),"",INDIRECT("'SorP'!$A$"&amp;MATCH($J148,SorP!$B$1:$B$6230,0))))</f>
        <v/>
      </c>
      <c r="U148" s="239"/>
      <c r="V148" s="269" t="e">
        <f>IF(C148="",NA(),MATCH($B148&amp;$C148,'Smelter Look-up'!$J:$J,0))</f>
        <v>#N/A</v>
      </c>
      <c r="W148" s="270"/>
      <c r="X148" s="270">
        <f t="shared" ca="1" si="7"/>
        <v>0</v>
      </c>
      <c r="Y148" s="270"/>
      <c r="Z148" s="270"/>
      <c r="AB148" s="272" t="str">
        <f t="shared" si="8"/>
        <v/>
      </c>
    </row>
    <row r="149" spans="1:28" s="271" customFormat="1" ht="20.25">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6"/>
        <v/>
      </c>
      <c r="T149" s="224" t="str">
        <f ca="1">IF(B149="","",IF(ISERROR(MATCH($J149,SorP!$B$1:$B$6230,0)),"",INDIRECT("'SorP'!$A$"&amp;MATCH($J149,SorP!$B$1:$B$6230,0))))</f>
        <v/>
      </c>
      <c r="U149" s="239"/>
      <c r="V149" s="269" t="e">
        <f>IF(C149="",NA(),MATCH($B149&amp;$C149,'Smelter Look-up'!$J:$J,0))</f>
        <v>#N/A</v>
      </c>
      <c r="W149" s="270"/>
      <c r="X149" s="270">
        <f t="shared" ca="1" si="7"/>
        <v>0</v>
      </c>
      <c r="Y149" s="270"/>
      <c r="Z149" s="270"/>
      <c r="AB149" s="272" t="str">
        <f t="shared" si="8"/>
        <v/>
      </c>
    </row>
    <row r="150" spans="1:28" s="271" customFormat="1" ht="20.25">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6"/>
        <v/>
      </c>
      <c r="T150" s="224" t="str">
        <f ca="1">IF(B150="","",IF(ISERROR(MATCH($J150,SorP!$B$1:$B$6230,0)),"",INDIRECT("'SorP'!$A$"&amp;MATCH($J150,SorP!$B$1:$B$6230,0))))</f>
        <v/>
      </c>
      <c r="U150" s="239"/>
      <c r="V150" s="269" t="e">
        <f>IF(C150="",NA(),MATCH($B150&amp;$C150,'Smelter Look-up'!$J:$J,0))</f>
        <v>#N/A</v>
      </c>
      <c r="W150" s="270"/>
      <c r="X150" s="270">
        <f t="shared" ca="1" si="7"/>
        <v>0</v>
      </c>
      <c r="Y150" s="270"/>
      <c r="Z150" s="270"/>
      <c r="AB150" s="272" t="str">
        <f t="shared" si="8"/>
        <v/>
      </c>
    </row>
    <row r="151" spans="1:28" s="271" customFormat="1" ht="20.25">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6"/>
        <v/>
      </c>
      <c r="T151" s="224" t="str">
        <f ca="1">IF(B151="","",IF(ISERROR(MATCH($J151,SorP!$B$1:$B$6230,0)),"",INDIRECT("'SorP'!$A$"&amp;MATCH($J151,SorP!$B$1:$B$6230,0))))</f>
        <v/>
      </c>
      <c r="U151" s="239"/>
      <c r="V151" s="269" t="e">
        <f>IF(C151="",NA(),MATCH($B151&amp;$C151,'Smelter Look-up'!$J:$J,0))</f>
        <v>#N/A</v>
      </c>
      <c r="W151" s="270"/>
      <c r="X151" s="270">
        <f t="shared" ca="1" si="7"/>
        <v>0</v>
      </c>
      <c r="Y151" s="270"/>
      <c r="Z151" s="270"/>
      <c r="AB151" s="272" t="str">
        <f t="shared" si="8"/>
        <v/>
      </c>
    </row>
    <row r="152" spans="1:28" s="271" customFormat="1" ht="20.25">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6"/>
        <v/>
      </c>
      <c r="T152" s="224" t="str">
        <f ca="1">IF(B152="","",IF(ISERROR(MATCH($J152,SorP!$B$1:$B$6230,0)),"",INDIRECT("'SorP'!$A$"&amp;MATCH($J152,SorP!$B$1:$B$6230,0))))</f>
        <v/>
      </c>
      <c r="U152" s="239"/>
      <c r="V152" s="269" t="e">
        <f>IF(C152="",NA(),MATCH($B152&amp;$C152,'Smelter Look-up'!$J:$J,0))</f>
        <v>#N/A</v>
      </c>
      <c r="W152" s="270"/>
      <c r="X152" s="270">
        <f t="shared" ca="1" si="7"/>
        <v>0</v>
      </c>
      <c r="Y152" s="270"/>
      <c r="Z152" s="270"/>
      <c r="AB152" s="272" t="str">
        <f t="shared" si="8"/>
        <v/>
      </c>
    </row>
    <row r="153" spans="1:28" s="271" customFormat="1" ht="20.25">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6"/>
        <v/>
      </c>
      <c r="T153" s="224" t="str">
        <f ca="1">IF(B153="","",IF(ISERROR(MATCH($J153,SorP!$B$1:$B$6230,0)),"",INDIRECT("'SorP'!$A$"&amp;MATCH($J153,SorP!$B$1:$B$6230,0))))</f>
        <v/>
      </c>
      <c r="U153" s="239"/>
      <c r="V153" s="269" t="e">
        <f>IF(C153="",NA(),MATCH($B153&amp;$C153,'Smelter Look-up'!$J:$J,0))</f>
        <v>#N/A</v>
      </c>
      <c r="W153" s="270"/>
      <c r="X153" s="270">
        <f t="shared" ca="1" si="7"/>
        <v>0</v>
      </c>
      <c r="Y153" s="270"/>
      <c r="Z153" s="270"/>
      <c r="AB153" s="272" t="str">
        <f t="shared" si="8"/>
        <v/>
      </c>
    </row>
    <row r="154" spans="1:28" s="271" customFormat="1" ht="20.25">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6"/>
        <v/>
      </c>
      <c r="T154" s="224" t="str">
        <f ca="1">IF(B154="","",IF(ISERROR(MATCH($J154,SorP!$B$1:$B$6230,0)),"",INDIRECT("'SorP'!$A$"&amp;MATCH($J154,SorP!$B$1:$B$6230,0))))</f>
        <v/>
      </c>
      <c r="U154" s="239"/>
      <c r="V154" s="269" t="e">
        <f>IF(C154="",NA(),MATCH($B154&amp;$C154,'Smelter Look-up'!$J:$J,0))</f>
        <v>#N/A</v>
      </c>
      <c r="W154" s="270"/>
      <c r="X154" s="270">
        <f t="shared" ca="1" si="7"/>
        <v>0</v>
      </c>
      <c r="Y154" s="270"/>
      <c r="Z154" s="270"/>
      <c r="AB154" s="272" t="str">
        <f t="shared" si="8"/>
        <v/>
      </c>
    </row>
    <row r="155" spans="1:28" s="271" customFormat="1" ht="20.25">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6"/>
        <v/>
      </c>
      <c r="T155" s="224" t="str">
        <f ca="1">IF(B155="","",IF(ISERROR(MATCH($J155,SorP!$B$1:$B$6230,0)),"",INDIRECT("'SorP'!$A$"&amp;MATCH($J155,SorP!$B$1:$B$6230,0))))</f>
        <v/>
      </c>
      <c r="U155" s="239"/>
      <c r="V155" s="269" t="e">
        <f>IF(C155="",NA(),MATCH($B155&amp;$C155,'Smelter Look-up'!$J:$J,0))</f>
        <v>#N/A</v>
      </c>
      <c r="W155" s="270"/>
      <c r="X155" s="270">
        <f t="shared" ca="1" si="7"/>
        <v>0</v>
      </c>
      <c r="Y155" s="270"/>
      <c r="Z155" s="270"/>
      <c r="AB155" s="272" t="str">
        <f t="shared" si="8"/>
        <v/>
      </c>
    </row>
    <row r="156" spans="1:28" s="271" customFormat="1" ht="20.25">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6"/>
        <v/>
      </c>
      <c r="T156" s="224" t="str">
        <f ca="1">IF(B156="","",IF(ISERROR(MATCH($J156,SorP!$B$1:$B$6230,0)),"",INDIRECT("'SorP'!$A$"&amp;MATCH($J156,SorP!$B$1:$B$6230,0))))</f>
        <v/>
      </c>
      <c r="U156" s="239"/>
      <c r="V156" s="269" t="e">
        <f>IF(C156="",NA(),MATCH($B156&amp;$C156,'Smelter Look-up'!$J:$J,0))</f>
        <v>#N/A</v>
      </c>
      <c r="W156" s="270"/>
      <c r="X156" s="270">
        <f t="shared" ca="1" si="7"/>
        <v>0</v>
      </c>
      <c r="Y156" s="270"/>
      <c r="Z156" s="270"/>
      <c r="AB156" s="272" t="str">
        <f t="shared" si="8"/>
        <v/>
      </c>
    </row>
    <row r="157" spans="1:28" s="271" customFormat="1" ht="20.25">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
      </c>
      <c r="T157" s="224" t="str">
        <f ca="1">IF(B157="","",IF(ISERROR(MATCH($J157,SorP!$B$1:$B$6230,0)),"",INDIRECT("'SorP'!$A$"&amp;MATCH($J157,SorP!$B$1:$B$6230,0))))</f>
        <v/>
      </c>
      <c r="U157" s="239"/>
      <c r="V157" s="269" t="e">
        <f>IF(C157="",NA(),MATCH($B157&amp;$C157,'Smelter Look-up'!$J:$J,0))</f>
        <v>#N/A</v>
      </c>
      <c r="W157" s="270"/>
      <c r="X157" s="270">
        <f t="shared" ca="1" si="7"/>
        <v>0</v>
      </c>
      <c r="Y157" s="270"/>
      <c r="Z157" s="270"/>
      <c r="AB157" s="272" t="str">
        <f t="shared" si="8"/>
        <v/>
      </c>
    </row>
    <row r="158" spans="1:28" s="271" customFormat="1" ht="20.25">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6"/>
        <v/>
      </c>
      <c r="T158" s="224" t="str">
        <f ca="1">IF(B158="","",IF(ISERROR(MATCH($J158,SorP!$B$1:$B$6230,0)),"",INDIRECT("'SorP'!$A$"&amp;MATCH($J158,SorP!$B$1:$B$6230,0))))</f>
        <v/>
      </c>
      <c r="U158" s="239"/>
      <c r="V158" s="269" t="e">
        <f>IF(C158="",NA(),MATCH($B158&amp;$C158,'Smelter Look-up'!$J:$J,0))</f>
        <v>#N/A</v>
      </c>
      <c r="W158" s="270"/>
      <c r="X158" s="270">
        <f t="shared" ca="1" si="7"/>
        <v>0</v>
      </c>
      <c r="Y158" s="270"/>
      <c r="Z158" s="270"/>
      <c r="AB158" s="272" t="str">
        <f t="shared" si="8"/>
        <v/>
      </c>
    </row>
    <row r="159" spans="1:28" s="271" customFormat="1" ht="20.25">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6"/>
        <v/>
      </c>
      <c r="T159" s="224" t="str">
        <f ca="1">IF(B159="","",IF(ISERROR(MATCH($J159,SorP!$B$1:$B$6230,0)),"",INDIRECT("'SorP'!$A$"&amp;MATCH($J159,SorP!$B$1:$B$6230,0))))</f>
        <v/>
      </c>
      <c r="U159" s="239"/>
      <c r="V159" s="269" t="e">
        <f>IF(C159="",NA(),MATCH($B159&amp;$C159,'Smelter Look-up'!$J:$J,0))</f>
        <v>#N/A</v>
      </c>
      <c r="W159" s="270"/>
      <c r="X159" s="270">
        <f t="shared" ca="1" si="7"/>
        <v>0</v>
      </c>
      <c r="Y159" s="270"/>
      <c r="Z159" s="270"/>
      <c r="AB159" s="272" t="str">
        <f t="shared" si="8"/>
        <v/>
      </c>
    </row>
    <row r="160" spans="1:28" s="271" customFormat="1" ht="20.25">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
      </c>
      <c r="T160" s="224" t="str">
        <f ca="1">IF(B160="","",IF(ISERROR(MATCH($J160,SorP!$B$1:$B$6230,0)),"",INDIRECT("'SorP'!$A$"&amp;MATCH($J160,SorP!$B$1:$B$6230,0))))</f>
        <v/>
      </c>
      <c r="U160" s="239"/>
      <c r="V160" s="269" t="e">
        <f>IF(C160="",NA(),MATCH($B160&amp;$C160,'Smelter Look-up'!$J:$J,0))</f>
        <v>#N/A</v>
      </c>
      <c r="W160" s="270"/>
      <c r="X160" s="270">
        <f t="shared" ca="1" si="7"/>
        <v>0</v>
      </c>
      <c r="Y160" s="270"/>
      <c r="Z160" s="270"/>
      <c r="AB160" s="272" t="str">
        <f t="shared" si="8"/>
        <v/>
      </c>
    </row>
    <row r="161" spans="1:28" s="271" customFormat="1" ht="20.25">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6"/>
        <v/>
      </c>
      <c r="T161" s="224" t="str">
        <f ca="1">IF(B161="","",IF(ISERROR(MATCH($J161,SorP!$B$1:$B$6230,0)),"",INDIRECT("'SorP'!$A$"&amp;MATCH($J161,SorP!$B$1:$B$6230,0))))</f>
        <v/>
      </c>
      <c r="U161" s="239"/>
      <c r="V161" s="269" t="e">
        <f>IF(C161="",NA(),MATCH($B161&amp;$C161,'Smelter Look-up'!$J:$J,0))</f>
        <v>#N/A</v>
      </c>
      <c r="W161" s="270"/>
      <c r="X161" s="270">
        <f t="shared" ca="1" si="7"/>
        <v>0</v>
      </c>
      <c r="Y161" s="270"/>
      <c r="Z161" s="270"/>
      <c r="AB161" s="272" t="str">
        <f t="shared" si="8"/>
        <v/>
      </c>
    </row>
    <row r="162" spans="1:28" s="271" customFormat="1" ht="20.25">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6"/>
        <v/>
      </c>
      <c r="T162" s="224" t="str">
        <f ca="1">IF(B162="","",IF(ISERROR(MATCH($J162,SorP!$B$1:$B$6230,0)),"",INDIRECT("'SorP'!$A$"&amp;MATCH($J162,SorP!$B$1:$B$6230,0))))</f>
        <v/>
      </c>
      <c r="U162" s="239"/>
      <c r="V162" s="269" t="e">
        <f>IF(C162="",NA(),MATCH($B162&amp;$C162,'Smelter Look-up'!$J:$J,0))</f>
        <v>#N/A</v>
      </c>
      <c r="W162" s="270"/>
      <c r="X162" s="270">
        <f t="shared" ca="1" si="7"/>
        <v>0</v>
      </c>
      <c r="Y162" s="270"/>
      <c r="Z162" s="270"/>
      <c r="AB162" s="272" t="str">
        <f t="shared" si="8"/>
        <v/>
      </c>
    </row>
    <row r="163" spans="1:28" s="271" customFormat="1" ht="20.25">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6"/>
        <v/>
      </c>
      <c r="T163" s="224" t="str">
        <f ca="1">IF(B163="","",IF(ISERROR(MATCH($J163,SorP!$B$1:$B$6230,0)),"",INDIRECT("'SorP'!$A$"&amp;MATCH($J163,SorP!$B$1:$B$6230,0))))</f>
        <v/>
      </c>
      <c r="U163" s="239"/>
      <c r="V163" s="269" t="e">
        <f>IF(C163="",NA(),MATCH($B163&amp;$C163,'Smelter Look-up'!$J:$J,0))</f>
        <v>#N/A</v>
      </c>
      <c r="W163" s="270"/>
      <c r="X163" s="270">
        <f t="shared" ca="1" si="7"/>
        <v>0</v>
      </c>
      <c r="Y163" s="270"/>
      <c r="Z163" s="270"/>
      <c r="AB163" s="272" t="str">
        <f t="shared" si="8"/>
        <v/>
      </c>
    </row>
    <row r="164" spans="1:28" s="271" customFormat="1" ht="20.25">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6"/>
        <v/>
      </c>
      <c r="T164" s="224" t="str">
        <f ca="1">IF(B164="","",IF(ISERROR(MATCH($J164,SorP!$B$1:$B$6230,0)),"",INDIRECT("'SorP'!$A$"&amp;MATCH($J164,SorP!$B$1:$B$6230,0))))</f>
        <v/>
      </c>
      <c r="U164" s="239"/>
      <c r="V164" s="269" t="e">
        <f>IF(C164="",NA(),MATCH($B164&amp;$C164,'Smelter Look-up'!$J:$J,0))</f>
        <v>#N/A</v>
      </c>
      <c r="W164" s="270"/>
      <c r="X164" s="270">
        <f t="shared" ca="1" si="7"/>
        <v>0</v>
      </c>
      <c r="Y164" s="270"/>
      <c r="Z164" s="270"/>
      <c r="AB164" s="272" t="str">
        <f t="shared" si="8"/>
        <v/>
      </c>
    </row>
    <row r="165" spans="1:28" s="271" customFormat="1" ht="20.25">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6"/>
        <v/>
      </c>
      <c r="T165" s="224" t="str">
        <f ca="1">IF(B165="","",IF(ISERROR(MATCH($J165,SorP!$B$1:$B$6230,0)),"",INDIRECT("'SorP'!$A$"&amp;MATCH($J165,SorP!$B$1:$B$6230,0))))</f>
        <v/>
      </c>
      <c r="U165" s="239"/>
      <c r="V165" s="269" t="e">
        <f>IF(C165="",NA(),MATCH($B165&amp;$C165,'Smelter Look-up'!$J:$J,0))</f>
        <v>#N/A</v>
      </c>
      <c r="W165" s="270"/>
      <c r="X165" s="270">
        <f t="shared" ca="1" si="7"/>
        <v>0</v>
      </c>
      <c r="Y165" s="270"/>
      <c r="Z165" s="270"/>
      <c r="AB165" s="272" t="str">
        <f t="shared" si="8"/>
        <v/>
      </c>
    </row>
    <row r="166" spans="1:28" s="271" customFormat="1" ht="20.25">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6"/>
        <v/>
      </c>
      <c r="T166" s="224" t="str">
        <f ca="1">IF(B166="","",IF(ISERROR(MATCH($J166,SorP!$B$1:$B$6230,0)),"",INDIRECT("'SorP'!$A$"&amp;MATCH($J166,SorP!$B$1:$B$6230,0))))</f>
        <v/>
      </c>
      <c r="U166" s="239"/>
      <c r="V166" s="269" t="e">
        <f>IF(C166="",NA(),MATCH($B166&amp;$C166,'Smelter Look-up'!$J:$J,0))</f>
        <v>#N/A</v>
      </c>
      <c r="W166" s="270"/>
      <c r="X166" s="270">
        <f t="shared" ca="1" si="7"/>
        <v>0</v>
      </c>
      <c r="Y166" s="270"/>
      <c r="Z166" s="270"/>
      <c r="AB166" s="272" t="str">
        <f t="shared" si="8"/>
        <v/>
      </c>
    </row>
    <row r="167" spans="1:28" s="271" customFormat="1" ht="20.25">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6"/>
        <v/>
      </c>
      <c r="T167" s="224" t="str">
        <f ca="1">IF(B167="","",IF(ISERROR(MATCH($J167,SorP!$B$1:$B$6230,0)),"",INDIRECT("'SorP'!$A$"&amp;MATCH($J167,SorP!$B$1:$B$6230,0))))</f>
        <v/>
      </c>
      <c r="U167" s="239"/>
      <c r="V167" s="269" t="e">
        <f>IF(C167="",NA(),MATCH($B167&amp;$C167,'Smelter Look-up'!$J:$J,0))</f>
        <v>#N/A</v>
      </c>
      <c r="W167" s="270"/>
      <c r="X167" s="270">
        <f t="shared" ca="1" si="7"/>
        <v>0</v>
      </c>
      <c r="Y167" s="270"/>
      <c r="Z167" s="270"/>
      <c r="AB167" s="272" t="str">
        <f t="shared" si="8"/>
        <v/>
      </c>
    </row>
    <row r="168" spans="1:28" s="271" customFormat="1" ht="20.25">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6"/>
        <v/>
      </c>
      <c r="T168" s="224" t="str">
        <f ca="1">IF(B168="","",IF(ISERROR(MATCH($J168,SorP!$B$1:$B$6230,0)),"",INDIRECT("'SorP'!$A$"&amp;MATCH($J168,SorP!$B$1:$B$6230,0))))</f>
        <v/>
      </c>
      <c r="U168" s="239"/>
      <c r="V168" s="269" t="e">
        <f>IF(C168="",NA(),MATCH($B168&amp;$C168,'Smelter Look-up'!$J:$J,0))</f>
        <v>#N/A</v>
      </c>
      <c r="W168" s="270"/>
      <c r="X168" s="270">
        <f t="shared" ca="1" si="7"/>
        <v>0</v>
      </c>
      <c r="Y168" s="270"/>
      <c r="Z168" s="270"/>
      <c r="AB168" s="272" t="str">
        <f t="shared" si="8"/>
        <v/>
      </c>
    </row>
    <row r="169" spans="1:28" s="271" customFormat="1" ht="20.25">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6"/>
        <v/>
      </c>
      <c r="T169" s="224" t="str">
        <f ca="1">IF(B169="","",IF(ISERROR(MATCH($J169,SorP!$B$1:$B$6230,0)),"",INDIRECT("'SorP'!$A$"&amp;MATCH($J169,SorP!$B$1:$B$6230,0))))</f>
        <v/>
      </c>
      <c r="U169" s="239"/>
      <c r="V169" s="269" t="e">
        <f>IF(C169="",NA(),MATCH($B169&amp;$C169,'Smelter Look-up'!$J:$J,0))</f>
        <v>#N/A</v>
      </c>
      <c r="W169" s="270"/>
      <c r="X169" s="270">
        <f t="shared" ca="1" si="7"/>
        <v>0</v>
      </c>
      <c r="Y169" s="270"/>
      <c r="Z169" s="270"/>
      <c r="AB169" s="272" t="str">
        <f t="shared" si="8"/>
        <v/>
      </c>
    </row>
    <row r="170" spans="1:28" s="271" customFormat="1" ht="20.25">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6"/>
        <v/>
      </c>
      <c r="T170" s="224" t="str">
        <f ca="1">IF(B170="","",IF(ISERROR(MATCH($J170,SorP!$B$1:$B$6230,0)),"",INDIRECT("'SorP'!$A$"&amp;MATCH($J170,SorP!$B$1:$B$6230,0))))</f>
        <v/>
      </c>
      <c r="U170" s="239"/>
      <c r="V170" s="269" t="e">
        <f>IF(C170="",NA(),MATCH($B170&amp;$C170,'Smelter Look-up'!$J:$J,0))</f>
        <v>#N/A</v>
      </c>
      <c r="W170" s="270"/>
      <c r="X170" s="270">
        <f t="shared" ca="1" si="7"/>
        <v>0</v>
      </c>
      <c r="Y170" s="270"/>
      <c r="Z170" s="270"/>
      <c r="AB170" s="272" t="str">
        <f t="shared" si="8"/>
        <v/>
      </c>
    </row>
    <row r="171" spans="1:28" s="271" customFormat="1" ht="20.25">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6"/>
        <v/>
      </c>
      <c r="T171" s="224" t="str">
        <f ca="1">IF(B171="","",IF(ISERROR(MATCH($J171,SorP!$B$1:$B$6230,0)),"",INDIRECT("'SorP'!$A$"&amp;MATCH($J171,SorP!$B$1:$B$6230,0))))</f>
        <v/>
      </c>
      <c r="U171" s="239"/>
      <c r="V171" s="269" t="e">
        <f>IF(C171="",NA(),MATCH($B171&amp;$C171,'Smelter Look-up'!$J:$J,0))</f>
        <v>#N/A</v>
      </c>
      <c r="W171" s="270"/>
      <c r="X171" s="270">
        <f t="shared" ca="1" si="7"/>
        <v>0</v>
      </c>
      <c r="Y171" s="270"/>
      <c r="Z171" s="270"/>
      <c r="AB171" s="272" t="str">
        <f t="shared" si="8"/>
        <v/>
      </c>
    </row>
    <row r="172" spans="1:28" s="271" customFormat="1" ht="20.25">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6"/>
        <v/>
      </c>
      <c r="T172" s="224" t="str">
        <f ca="1">IF(B172="","",IF(ISERROR(MATCH($J172,SorP!$B$1:$B$6230,0)),"",INDIRECT("'SorP'!$A$"&amp;MATCH($J172,SorP!$B$1:$B$6230,0))))</f>
        <v/>
      </c>
      <c r="U172" s="239"/>
      <c r="V172" s="269" t="e">
        <f>IF(C172="",NA(),MATCH($B172&amp;$C172,'Smelter Look-up'!$J:$J,0))</f>
        <v>#N/A</v>
      </c>
      <c r="W172" s="270"/>
      <c r="X172" s="270">
        <f t="shared" ca="1" si="7"/>
        <v>0</v>
      </c>
      <c r="Y172" s="270"/>
      <c r="Z172" s="270"/>
      <c r="AB172" s="272" t="str">
        <f t="shared" si="8"/>
        <v/>
      </c>
    </row>
    <row r="173" spans="1:28" s="271" customFormat="1" ht="20.25">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6"/>
        <v/>
      </c>
      <c r="T173" s="224" t="str">
        <f ca="1">IF(B173="","",IF(ISERROR(MATCH($J173,SorP!$B$1:$B$6230,0)),"",INDIRECT("'SorP'!$A$"&amp;MATCH($J173,SorP!$B$1:$B$6230,0))))</f>
        <v/>
      </c>
      <c r="U173" s="239"/>
      <c r="V173" s="269" t="e">
        <f>IF(C173="",NA(),MATCH($B173&amp;$C173,'Smelter Look-up'!$J:$J,0))</f>
        <v>#N/A</v>
      </c>
      <c r="W173" s="270"/>
      <c r="X173" s="270">
        <f t="shared" ca="1" si="7"/>
        <v>0</v>
      </c>
      <c r="Y173" s="270"/>
      <c r="Z173" s="270"/>
      <c r="AB173" s="272" t="str">
        <f t="shared" si="8"/>
        <v/>
      </c>
    </row>
    <row r="174" spans="1:28" s="271" customFormat="1" ht="20.25">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6"/>
        <v/>
      </c>
      <c r="T174" s="224" t="str">
        <f ca="1">IF(B174="","",IF(ISERROR(MATCH($J174,SorP!$B$1:$B$6230,0)),"",INDIRECT("'SorP'!$A$"&amp;MATCH($J174,SorP!$B$1:$B$6230,0))))</f>
        <v/>
      </c>
      <c r="U174" s="239"/>
      <c r="V174" s="269" t="e">
        <f>IF(C174="",NA(),MATCH($B174&amp;$C174,'Smelter Look-up'!$J:$J,0))</f>
        <v>#N/A</v>
      </c>
      <c r="W174" s="270"/>
      <c r="X174" s="270">
        <f t="shared" ca="1" si="7"/>
        <v>0</v>
      </c>
      <c r="Y174" s="270"/>
      <c r="Z174" s="270"/>
      <c r="AB174" s="272" t="str">
        <f t="shared" si="8"/>
        <v/>
      </c>
    </row>
    <row r="175" spans="1:28" s="271" customFormat="1" ht="20.25">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20.25">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20.25">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20.25">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20.25">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20.25">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20.25">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20.25">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20.25">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20.25">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20.25">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20.25">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20.25">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
      </c>
      <c r="T187" s="224" t="str">
        <f ca="1">IF(B187="","",IF(ISERROR(MATCH($J187,SorP!$B$1:$B$6230,0)),"",INDIRECT("'SorP'!$A$"&amp;MATCH($J187,SorP!$B$1:$B$6230,0))))</f>
        <v/>
      </c>
      <c r="U187" s="239"/>
      <c r="V187" s="269" t="e">
        <f>IF(C187="",NA(),MATCH($B187&amp;$C187,'Smelter Look-up'!$J:$J,0))</f>
        <v>#N/A</v>
      </c>
      <c r="W187" s="270"/>
      <c r="X187" s="270">
        <f t="shared" ca="1" si="7"/>
        <v>0</v>
      </c>
      <c r="Y187" s="270"/>
      <c r="Z187" s="270"/>
      <c r="AB187" s="272" t="str">
        <f t="shared" si="8"/>
        <v/>
      </c>
    </row>
    <row r="188" spans="1:28" s="271" customFormat="1" ht="20.25">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6"/>
        <v/>
      </c>
      <c r="T188" s="224" t="str">
        <f ca="1">IF(B188="","",IF(ISERROR(MATCH($J188,SorP!$B$1:$B$6230,0)),"",INDIRECT("'SorP'!$A$"&amp;MATCH($J188,SorP!$B$1:$B$6230,0))))</f>
        <v/>
      </c>
      <c r="U188" s="239"/>
      <c r="V188" s="269" t="e">
        <f>IF(C188="",NA(),MATCH($B188&amp;$C188,'Smelter Look-up'!$J:$J,0))</f>
        <v>#N/A</v>
      </c>
      <c r="W188" s="270"/>
      <c r="X188" s="270">
        <f t="shared" ca="1" si="7"/>
        <v>0</v>
      </c>
      <c r="Y188" s="270"/>
      <c r="Z188" s="270"/>
      <c r="AB188" s="272" t="str">
        <f t="shared" si="8"/>
        <v/>
      </c>
    </row>
    <row r="189" spans="1:28" s="271" customFormat="1" ht="20.25">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6"/>
        <v/>
      </c>
      <c r="T189" s="224" t="str">
        <f ca="1">IF(B189="","",IF(ISERROR(MATCH($J189,SorP!$B$1:$B$6230,0)),"",INDIRECT("'SorP'!$A$"&amp;MATCH($J189,SorP!$B$1:$B$6230,0))))</f>
        <v/>
      </c>
      <c r="U189" s="239"/>
      <c r="V189" s="269" t="e">
        <f>IF(C189="",NA(),MATCH($B189&amp;$C189,'Smelter Look-up'!$J:$J,0))</f>
        <v>#N/A</v>
      </c>
      <c r="W189" s="270"/>
      <c r="X189" s="270">
        <f t="shared" ca="1" si="7"/>
        <v>0</v>
      </c>
      <c r="Y189" s="270"/>
      <c r="Z189" s="270"/>
      <c r="AB189" s="272" t="str">
        <f t="shared" si="8"/>
        <v/>
      </c>
    </row>
    <row r="190" spans="1:28" s="271" customFormat="1" ht="20.25">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6"/>
        <v/>
      </c>
      <c r="T190" s="224" t="str">
        <f ca="1">IF(B190="","",IF(ISERROR(MATCH($J190,SorP!$B$1:$B$6230,0)),"",INDIRECT("'SorP'!$A$"&amp;MATCH($J190,SorP!$B$1:$B$6230,0))))</f>
        <v/>
      </c>
      <c r="U190" s="239"/>
      <c r="V190" s="269" t="e">
        <f>IF(C190="",NA(),MATCH($B190&amp;$C190,'Smelter Look-up'!$J:$J,0))</f>
        <v>#N/A</v>
      </c>
      <c r="W190" s="270"/>
      <c r="X190" s="270">
        <f t="shared" ca="1" si="7"/>
        <v>0</v>
      </c>
      <c r="Y190" s="270"/>
      <c r="Z190" s="270"/>
      <c r="AB190" s="272" t="str">
        <f t="shared" si="8"/>
        <v/>
      </c>
    </row>
    <row r="191" spans="1:28" s="271" customFormat="1" ht="20.25">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6"/>
        <v/>
      </c>
      <c r="T191" s="224" t="str">
        <f ca="1">IF(B191="","",IF(ISERROR(MATCH($J191,SorP!$B$1:$B$6230,0)),"",INDIRECT("'SorP'!$A$"&amp;MATCH($J191,SorP!$B$1:$B$6230,0))))</f>
        <v/>
      </c>
      <c r="U191" s="239"/>
      <c r="V191" s="269" t="e">
        <f>IF(C191="",NA(),MATCH($B191&amp;$C191,'Smelter Look-up'!$J:$J,0))</f>
        <v>#N/A</v>
      </c>
      <c r="W191" s="270"/>
      <c r="X191" s="270">
        <f t="shared" ca="1" si="7"/>
        <v>0</v>
      </c>
      <c r="Y191" s="270"/>
      <c r="Z191" s="270"/>
      <c r="AB191" s="272" t="str">
        <f t="shared" si="8"/>
        <v/>
      </c>
    </row>
    <row r="192" spans="1:28" s="271" customFormat="1" ht="20.25">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6"/>
        <v/>
      </c>
      <c r="T192" s="224" t="str">
        <f ca="1">IF(B192="","",IF(ISERROR(MATCH($J192,SorP!$B$1:$B$6230,0)),"",INDIRECT("'SorP'!$A$"&amp;MATCH($J192,SorP!$B$1:$B$6230,0))))</f>
        <v/>
      </c>
      <c r="U192" s="239"/>
      <c r="V192" s="269" t="e">
        <f>IF(C192="",NA(),MATCH($B192&amp;$C192,'Smelter Look-up'!$J:$J,0))</f>
        <v>#N/A</v>
      </c>
      <c r="W192" s="270"/>
      <c r="X192" s="270">
        <f t="shared" ca="1" si="7"/>
        <v>0</v>
      </c>
      <c r="Y192" s="270"/>
      <c r="Z192" s="270"/>
      <c r="AB192" s="272" t="str">
        <f t="shared" si="8"/>
        <v/>
      </c>
    </row>
    <row r="193" spans="1:28" s="271" customFormat="1" ht="20.25">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6"/>
        <v/>
      </c>
      <c r="T193" s="224" t="str">
        <f ca="1">IF(B193="","",IF(ISERROR(MATCH($J193,SorP!$B$1:$B$6230,0)),"",INDIRECT("'SorP'!$A$"&amp;MATCH($J193,SorP!$B$1:$B$6230,0))))</f>
        <v/>
      </c>
      <c r="U193" s="239"/>
      <c r="V193" s="269" t="e">
        <f>IF(C193="",NA(),MATCH($B193&amp;$C193,'Smelter Look-up'!$J:$J,0))</f>
        <v>#N/A</v>
      </c>
      <c r="W193" s="270"/>
      <c r="X193" s="270">
        <f t="shared" ca="1" si="7"/>
        <v>0</v>
      </c>
      <c r="Y193" s="270"/>
      <c r="Z193" s="270"/>
      <c r="AB193" s="272" t="str">
        <f t="shared" si="8"/>
        <v/>
      </c>
    </row>
    <row r="194" spans="1:28" s="271" customFormat="1" ht="20.25">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6"/>
        <v/>
      </c>
      <c r="T194" s="224" t="str">
        <f ca="1">IF(B194="","",IF(ISERROR(MATCH($J194,SorP!$B$1:$B$6230,0)),"",INDIRECT("'SorP'!$A$"&amp;MATCH($J194,SorP!$B$1:$B$6230,0))))</f>
        <v/>
      </c>
      <c r="U194" s="239"/>
      <c r="V194" s="269" t="e">
        <f>IF(C194="",NA(),MATCH($B194&amp;$C194,'Smelter Look-up'!$J:$J,0))</f>
        <v>#N/A</v>
      </c>
      <c r="W194" s="270"/>
      <c r="X194" s="270">
        <f t="shared" ca="1" si="7"/>
        <v>0</v>
      </c>
      <c r="Y194" s="270"/>
      <c r="Z194" s="270"/>
      <c r="AB194" s="272" t="str">
        <f t="shared" si="8"/>
        <v/>
      </c>
    </row>
    <row r="195" spans="1:28" s="271" customFormat="1" ht="20.25">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6"/>
        <v/>
      </c>
      <c r="T195" s="224" t="str">
        <f ca="1">IF(B195="","",IF(ISERROR(MATCH($J195,SorP!$B$1:$B$6230,0)),"",INDIRECT("'SorP'!$A$"&amp;MATCH($J195,SorP!$B$1:$B$6230,0))))</f>
        <v/>
      </c>
      <c r="U195" s="239"/>
      <c r="V195" s="269" t="e">
        <f>IF(C195="",NA(),MATCH($B195&amp;$C195,'Smelter Look-up'!$J:$J,0))</f>
        <v>#N/A</v>
      </c>
      <c r="W195" s="270"/>
      <c r="X195" s="270">
        <f t="shared" ca="1" si="7"/>
        <v>0</v>
      </c>
      <c r="Y195" s="270"/>
      <c r="Z195" s="270"/>
      <c r="AB195" s="272" t="str">
        <f t="shared" si="8"/>
        <v/>
      </c>
    </row>
    <row r="196" spans="1:28" s="271" customFormat="1" ht="20.25">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6"/>
        <v/>
      </c>
      <c r="T196" s="224" t="str">
        <f ca="1">IF(B196="","",IF(ISERROR(MATCH($J196,SorP!$B$1:$B$6230,0)),"",INDIRECT("'SorP'!$A$"&amp;MATCH($J196,SorP!$B$1:$B$6230,0))))</f>
        <v/>
      </c>
      <c r="U196" s="239"/>
      <c r="V196" s="269" t="e">
        <f>IF(C196="",NA(),MATCH($B196&amp;$C196,'Smelter Look-up'!$J:$J,0))</f>
        <v>#N/A</v>
      </c>
      <c r="W196" s="270"/>
      <c r="X196" s="270">
        <f t="shared" ca="1" si="7"/>
        <v>0</v>
      </c>
      <c r="Y196" s="270"/>
      <c r="Z196" s="270"/>
      <c r="AB196" s="272" t="str">
        <f t="shared" si="8"/>
        <v/>
      </c>
    </row>
    <row r="197" spans="1:28" s="271" customFormat="1" ht="20.25">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ref="S197:S260" ca="1" si="9">IF(B197="","",IF(ISERROR(MATCH($E197,CL,0)),"Unknown",INDIRECT("'C'!$A$"&amp;MATCH($E197,CL,0)+1)))</f>
        <v/>
      </c>
      <c r="T197" s="224" t="str">
        <f ca="1">IF(B197="","",IF(ISERROR(MATCH($J197,SorP!$B$1:$B$6230,0)),"",INDIRECT("'SorP'!$A$"&amp;MATCH($J197,SorP!$B$1:$B$6230,0))))</f>
        <v/>
      </c>
      <c r="U197" s="239"/>
      <c r="V197" s="269" t="e">
        <f>IF(C197="",NA(),MATCH($B197&amp;$C197,'Smelter Look-up'!$J:$J,0))</f>
        <v>#N/A</v>
      </c>
      <c r="W197" s="270"/>
      <c r="X197" s="270">
        <f t="shared" ref="X197:X260" ca="1" si="10">IF(AND(C197="Smelter not listed",OR(LEN(D197)=0,LEN(E197)=0)),1,0)</f>
        <v>0</v>
      </c>
      <c r="Y197" s="270"/>
      <c r="Z197" s="270"/>
      <c r="AB197" s="272" t="str">
        <f t="shared" ref="AB197:AB260" si="11">B197&amp;C197</f>
        <v/>
      </c>
    </row>
    <row r="198" spans="1:28" s="271" customFormat="1" ht="20.25">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25">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25">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25">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25">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25">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25">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25">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25">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25">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25">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25">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25">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25">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25">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25">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25">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25">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25">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25">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25">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25">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25">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25">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25">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25">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25">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25">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25">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25">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25">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25">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25">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25">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25">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25">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25">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25">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25">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25">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25">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25">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25">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25">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25">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25">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25">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25">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25">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25">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25">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25">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25">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25">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20.25">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20.25">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20.25">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20.25">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20.25">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ca="1" si="10"/>
        <v>0</v>
      </c>
      <c r="Y256" s="270"/>
      <c r="Z256" s="270"/>
      <c r="AB256" s="272" t="str">
        <f t="shared" si="11"/>
        <v/>
      </c>
    </row>
    <row r="257" spans="1:28" s="271" customFormat="1" ht="20.25">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9"/>
        <v/>
      </c>
      <c r="T257" s="224" t="str">
        <f ca="1">IF(B257="","",IF(ISERROR(MATCH($J257,SorP!$B$1:$B$6230,0)),"",INDIRECT("'SorP'!$A$"&amp;MATCH($J257,SorP!$B$1:$B$6230,0))))</f>
        <v/>
      </c>
      <c r="U257" s="239"/>
      <c r="V257" s="269" t="e">
        <f>IF(C257="",NA(),MATCH($B257&amp;$C257,'Smelter Look-up'!$J:$J,0))</f>
        <v>#N/A</v>
      </c>
      <c r="W257" s="270"/>
      <c r="X257" s="270">
        <f t="shared" ca="1" si="10"/>
        <v>0</v>
      </c>
      <c r="Y257" s="270"/>
      <c r="Z257" s="270"/>
      <c r="AB257" s="272" t="str">
        <f t="shared" si="11"/>
        <v/>
      </c>
    </row>
    <row r="258" spans="1:28" s="271" customFormat="1" ht="20.25">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9"/>
        <v/>
      </c>
      <c r="T258" s="224" t="str">
        <f ca="1">IF(B258="","",IF(ISERROR(MATCH($J258,SorP!$B$1:$B$6230,0)),"",INDIRECT("'SorP'!$A$"&amp;MATCH($J258,SorP!$B$1:$B$6230,0))))</f>
        <v/>
      </c>
      <c r="U258" s="239"/>
      <c r="V258" s="269" t="e">
        <f>IF(C258="",NA(),MATCH($B258&amp;$C258,'Smelter Look-up'!$J:$J,0))</f>
        <v>#N/A</v>
      </c>
      <c r="W258" s="270"/>
      <c r="X258" s="270">
        <f t="shared" ca="1" si="10"/>
        <v>0</v>
      </c>
      <c r="Y258" s="270"/>
      <c r="Z258" s="270"/>
      <c r="AB258" s="272" t="str">
        <f t="shared" si="11"/>
        <v/>
      </c>
    </row>
    <row r="259" spans="1:28" s="271" customFormat="1" ht="20.25">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9"/>
        <v/>
      </c>
      <c r="T259" s="224" t="str">
        <f ca="1">IF(B259="","",IF(ISERROR(MATCH($J259,SorP!$B$1:$B$6230,0)),"",INDIRECT("'SorP'!$A$"&amp;MATCH($J259,SorP!$B$1:$B$6230,0))))</f>
        <v/>
      </c>
      <c r="U259" s="239"/>
      <c r="V259" s="269" t="e">
        <f>IF(C259="",NA(),MATCH($B259&amp;$C259,'Smelter Look-up'!$J:$J,0))</f>
        <v>#N/A</v>
      </c>
      <c r="W259" s="270"/>
      <c r="X259" s="270">
        <f t="shared" ca="1" si="10"/>
        <v>0</v>
      </c>
      <c r="Y259" s="270"/>
      <c r="Z259" s="270"/>
      <c r="AB259" s="272" t="str">
        <f t="shared" si="11"/>
        <v/>
      </c>
    </row>
    <row r="260" spans="1:28" s="271" customFormat="1" ht="20.25">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9"/>
        <v/>
      </c>
      <c r="T260" s="224" t="str">
        <f ca="1">IF(B260="","",IF(ISERROR(MATCH($J260,SorP!$B$1:$B$6230,0)),"",INDIRECT("'SorP'!$A$"&amp;MATCH($J260,SorP!$B$1:$B$6230,0))))</f>
        <v/>
      </c>
      <c r="U260" s="239"/>
      <c r="V260" s="269" t="e">
        <f>IF(C260="",NA(),MATCH($B260&amp;$C260,'Smelter Look-up'!$J:$J,0))</f>
        <v>#N/A</v>
      </c>
      <c r="W260" s="270"/>
      <c r="X260" s="270">
        <f t="shared" ca="1" si="10"/>
        <v>0</v>
      </c>
      <c r="Y260" s="270"/>
      <c r="Z260" s="270"/>
      <c r="AB260" s="272" t="str">
        <f t="shared" si="11"/>
        <v/>
      </c>
    </row>
    <row r="261" spans="1:28" s="271" customFormat="1" ht="20.25">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ref="S261:S324" ca="1" si="12">IF(B261="","",IF(ISERROR(MATCH($E261,CL,0)),"Unknown",INDIRECT("'C'!$A$"&amp;MATCH($E261,CL,0)+1)))</f>
        <v/>
      </c>
      <c r="T261" s="224" t="str">
        <f ca="1">IF(B261="","",IF(ISERROR(MATCH($J261,SorP!$B$1:$B$6230,0)),"",INDIRECT("'SorP'!$A$"&amp;MATCH($J261,SorP!$B$1:$B$6230,0))))</f>
        <v/>
      </c>
      <c r="U261" s="239"/>
      <c r="V261" s="269" t="e">
        <f>IF(C261="",NA(),MATCH($B261&amp;$C261,'Smelter Look-up'!$J:$J,0))</f>
        <v>#N/A</v>
      </c>
      <c r="W261" s="270"/>
      <c r="X261" s="270">
        <f t="shared" ref="X261:X324" ca="1" si="13">IF(AND(C261="Smelter not listed",OR(LEN(D261)=0,LEN(E261)=0)),1,0)</f>
        <v>0</v>
      </c>
      <c r="Y261" s="270"/>
      <c r="Z261" s="270"/>
      <c r="AB261" s="272" t="str">
        <f t="shared" ref="AB261:AB324" si="14">B261&amp;C261</f>
        <v/>
      </c>
    </row>
    <row r="262" spans="1:28" s="271" customFormat="1" ht="20.25">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25">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25">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25">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25">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25">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25">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25">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25">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25">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25">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25">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25">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25">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2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2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2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2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2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2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2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2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2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2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2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2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2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2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2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2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2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2"/>
        <v/>
      </c>
      <c r="T324" s="224" t="str">
        <f ca="1">IF(B324="","",IF(ISERROR(MATCH($J324,SorP!$B$1:$B$6230,0)),"",INDIRECT("'SorP'!$A$"&amp;MATCH($J324,SorP!$B$1:$B$6230,0))))</f>
        <v/>
      </c>
      <c r="U324" s="239"/>
      <c r="V324" s="269" t="e">
        <f>IF(C324="",NA(),MATCH($B324&amp;$C324,'Smelter Look-up'!$J:$J,0))</f>
        <v>#N/A</v>
      </c>
      <c r="W324" s="270"/>
      <c r="X324" s="270">
        <f t="shared" ca="1" si="13"/>
        <v>0</v>
      </c>
      <c r="Y324" s="270"/>
      <c r="Z324" s="270"/>
      <c r="AB324" s="272" t="str">
        <f t="shared" si="14"/>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5">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6">IF(AND(C325="Smelter not listed",OR(LEN(D325)=0,LEN(E325)=0)),1,0)</f>
        <v>0</v>
      </c>
      <c r="Y325" s="270"/>
      <c r="Z325" s="270"/>
      <c r="AB325" s="272" t="str">
        <f t="shared" ref="AB325:AB388" si="17">B325&amp;C325</f>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7">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28">IF(AND(C581="Smelter not listed",OR(LEN(D581)=0,LEN(E581)=0)),1,0)</f>
        <v>0</v>
      </c>
      <c r="Y581" s="270"/>
      <c r="Z581" s="270"/>
      <c r="AB581" s="272" t="str">
        <f t="shared" ref="AB581:AB585" si="29">B581&amp;C581</f>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7"/>
        <v/>
      </c>
      <c r="T585" s="224" t="str">
        <f ca="1">IF(B585="","",IF(ISERROR(MATCH($J585,SorP!$B$1:$B$6230,0)),"",INDIRECT("'SorP'!$A$"&amp;MATCH($J585,SorP!$B$1:$B$6230,0))))</f>
        <v/>
      </c>
      <c r="U585" s="239"/>
      <c r="V585" s="269" t="e">
        <f>IF(C585="",NA(),MATCH($B585&amp;$C585,'Smelter Look-up'!$J:$J,0))</f>
        <v>#N/A</v>
      </c>
      <c r="W585" s="270"/>
      <c r="X585" s="270">
        <f t="shared" ca="1" si="28"/>
        <v>0</v>
      </c>
      <c r="Y585" s="270"/>
      <c r="Z585" s="270"/>
      <c r="AB585" s="272" t="str">
        <f t="shared" si="29"/>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0">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1">IF(AND(C586="Smelter not listed",OR(LEN(D586)=0,LEN(E586)=0)),1,0)</f>
        <v>0</v>
      </c>
      <c r="Y586" s="270"/>
      <c r="Z586" s="270"/>
      <c r="AB586" s="272" t="str">
        <f t="shared" ref="AB586:AB634" si="32">B586&amp;C586</f>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
      </c>
      <c r="T634" s="224" t="str">
        <f ca="1">IF(B634="","",IF(ISERROR(MATCH($J634,SorP!$B$1:$B$6230,0)),"",INDIRECT("'SorP'!$A$"&amp;MATCH($J634,SorP!$B$1:$B$6230,0))))</f>
        <v/>
      </c>
      <c r="U634" s="239"/>
      <c r="V634" s="269" t="e">
        <f>IF(C634="",NA(),MATCH($B634&amp;$C634,'Smelter Look-up'!$J:$J,0))</f>
        <v>#N/A</v>
      </c>
      <c r="W634" s="270"/>
      <c r="X634" s="270">
        <f t="shared" ca="1" si="31"/>
        <v>0</v>
      </c>
      <c r="Y634" s="270"/>
      <c r="Z634" s="270"/>
      <c r="AB634" s="272" t="str">
        <f t="shared" si="32"/>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3">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4">IF(AND(C635="Smelter not listed",OR(LEN(D635)=0,LEN(E635)=0)),1,0)</f>
        <v>0</v>
      </c>
      <c r="Y635" s="270"/>
      <c r="Z635" s="270"/>
      <c r="AB635" s="272" t="str">
        <f t="shared" ref="AB635:AB698" si="35">B635&amp;C635</f>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3"/>
        <v/>
      </c>
      <c r="T698" s="224" t="str">
        <f ca="1">IF(B698="","",IF(ISERROR(MATCH($J698,SorP!$B$1:$B$6230,0)),"",INDIRECT("'SorP'!$A$"&amp;MATCH($J698,SorP!$B$1:$B$6230,0))))</f>
        <v/>
      </c>
      <c r="U698" s="239"/>
      <c r="V698" s="269" t="e">
        <f>IF(C698="",NA(),MATCH($B698&amp;$C698,'Smelter Look-up'!$J:$J,0))</f>
        <v>#N/A</v>
      </c>
      <c r="W698" s="270"/>
      <c r="X698" s="270">
        <f t="shared" ca="1" si="34"/>
        <v>0</v>
      </c>
      <c r="Y698" s="270"/>
      <c r="Z698" s="270"/>
      <c r="AB698" s="272" t="str">
        <f t="shared" si="35"/>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6">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7">IF(AND(C699="Smelter not listed",OR(LEN(D699)=0,LEN(E699)=0)),1,0)</f>
        <v>0</v>
      </c>
      <c r="Y699" s="270"/>
      <c r="Z699" s="270"/>
      <c r="AB699" s="272" t="str">
        <f t="shared" ref="AB699:AB762" si="38">B699&amp;C699</f>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6"/>
        <v/>
      </c>
      <c r="T762" s="224" t="str">
        <f ca="1">IF(B762="","",IF(ISERROR(MATCH($J762,SorP!$B$1:$B$6230,0)),"",INDIRECT("'SorP'!$A$"&amp;MATCH($J762,SorP!$B$1:$B$6230,0))))</f>
        <v/>
      </c>
      <c r="U762" s="239"/>
      <c r="V762" s="269" t="e">
        <f>IF(C762="",NA(),MATCH($B762&amp;$C762,'Smelter Look-up'!$J:$J,0))</f>
        <v>#N/A</v>
      </c>
      <c r="W762" s="270"/>
      <c r="X762" s="270">
        <f t="shared" ca="1" si="37"/>
        <v>0</v>
      </c>
      <c r="Y762" s="270"/>
      <c r="Z762" s="270"/>
      <c r="AB762" s="272" t="str">
        <f t="shared" si="38"/>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9">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0">IF(AND(C763="Smelter not listed",OR(LEN(D763)=0,LEN(E763)=0)),1,0)</f>
        <v>0</v>
      </c>
      <c r="Y763" s="270"/>
      <c r="Z763" s="270"/>
      <c r="AB763" s="272" t="str">
        <f t="shared" ref="AB763:AB826" si="41">B763&amp;C763</f>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9"/>
        <v/>
      </c>
      <c r="T826" s="224" t="str">
        <f ca="1">IF(B826="","",IF(ISERROR(MATCH($J826,SorP!$B$1:$B$6230,0)),"",INDIRECT("'SorP'!$A$"&amp;MATCH($J826,SorP!$B$1:$B$6230,0))))</f>
        <v/>
      </c>
      <c r="U826" s="239"/>
      <c r="V826" s="269" t="e">
        <f>IF(C826="",NA(),MATCH($B826&amp;$C826,'Smelter Look-up'!$J:$J,0))</f>
        <v>#N/A</v>
      </c>
      <c r="W826" s="270"/>
      <c r="X826" s="270">
        <f t="shared" ca="1" si="40"/>
        <v>0</v>
      </c>
      <c r="Y826" s="270"/>
      <c r="Z826" s="270"/>
      <c r="AB826" s="272" t="str">
        <f t="shared" si="41"/>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2">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3">IF(AND(C827="Smelter not listed",OR(LEN(D827)=0,LEN(E827)=0)),1,0)</f>
        <v>0</v>
      </c>
      <c r="Y827" s="270"/>
      <c r="Z827" s="270"/>
      <c r="AB827" s="272" t="str">
        <f t="shared" ref="AB827:AB890" si="44">B827&amp;C827</f>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2"/>
        <v/>
      </c>
      <c r="T890" s="224" t="str">
        <f ca="1">IF(B890="","",IF(ISERROR(MATCH($J890,SorP!$B$1:$B$6230,0)),"",INDIRECT("'SorP'!$A$"&amp;MATCH($J890,SorP!$B$1:$B$6230,0))))</f>
        <v/>
      </c>
      <c r="U890" s="239"/>
      <c r="V890" s="269" t="e">
        <f>IF(C890="",NA(),MATCH($B890&amp;$C890,'Smelter Look-up'!$J:$J,0))</f>
        <v>#N/A</v>
      </c>
      <c r="W890" s="270"/>
      <c r="X890" s="270">
        <f t="shared" ca="1" si="43"/>
        <v>0</v>
      </c>
      <c r="Y890" s="270"/>
      <c r="Z890" s="270"/>
      <c r="AB890" s="272" t="str">
        <f t="shared" si="44"/>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5">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6">IF(AND(C891="Smelter not listed",OR(LEN(D891)=0,LEN(E891)=0)),1,0)</f>
        <v>0</v>
      </c>
      <c r="Y891" s="270"/>
      <c r="Z891" s="270"/>
      <c r="AB891" s="272" t="str">
        <f t="shared" ref="AB891:AB954" si="47">B891&amp;C891</f>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5"/>
        <v/>
      </c>
      <c r="T954" s="224" t="str">
        <f ca="1">IF(B954="","",IF(ISERROR(MATCH($J954,SorP!$B$1:$B$6230,0)),"",INDIRECT("'SorP'!$A$"&amp;MATCH($J954,SorP!$B$1:$B$6230,0))))</f>
        <v/>
      </c>
      <c r="U954" s="239"/>
      <c r="V954" s="269" t="e">
        <f>IF(C954="",NA(),MATCH($B954&amp;$C954,'Smelter Look-up'!$J:$J,0))</f>
        <v>#N/A</v>
      </c>
      <c r="W954" s="270"/>
      <c r="X954" s="270">
        <f t="shared" ca="1" si="46"/>
        <v>0</v>
      </c>
      <c r="Y954" s="270"/>
      <c r="Z954" s="270"/>
      <c r="AB954" s="272" t="str">
        <f t="shared" si="47"/>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8">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9">IF(AND(C955="Smelter not listed",OR(LEN(D955)=0,LEN(E955)=0)),1,0)</f>
        <v>0</v>
      </c>
      <c r="Y955" s="270"/>
      <c r="Z955" s="270"/>
      <c r="AB955" s="272" t="str">
        <f t="shared" ref="AB955:AB1018" si="50">B955&amp;C955</f>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8"/>
        <v/>
      </c>
      <c r="T1018" s="224" t="str">
        <f ca="1">IF(B1018="","",IF(ISERROR(MATCH($J1018,SorP!$B$1:$B$6230,0)),"",INDIRECT("'SorP'!$A$"&amp;MATCH($J1018,SorP!$B$1:$B$6230,0))))</f>
        <v/>
      </c>
      <c r="U1018" s="239"/>
      <c r="V1018" s="269" t="e">
        <f>IF(C1018="",NA(),MATCH($B1018&amp;$C1018,'Smelter Look-up'!$J:$J,0))</f>
        <v>#N/A</v>
      </c>
      <c r="W1018" s="270"/>
      <c r="X1018" s="270">
        <f t="shared" ca="1" si="49"/>
        <v>0</v>
      </c>
      <c r="Y1018" s="270"/>
      <c r="Z1018" s="270"/>
      <c r="AB1018" s="272" t="str">
        <f t="shared" si="50"/>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1">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2">IF(AND(C1019="Smelter not listed",OR(LEN(D1019)=0,LEN(E1019)=0)),1,0)</f>
        <v>0</v>
      </c>
      <c r="Y1019" s="270"/>
      <c r="Z1019" s="270"/>
      <c r="AB1019" s="272" t="str">
        <f t="shared" ref="AB1019:AB1082" si="53">B1019&amp;C1019</f>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1"/>
        <v/>
      </c>
      <c r="T1082" s="224" t="str">
        <f ca="1">IF(B1082="","",IF(ISERROR(MATCH($J1082,SorP!$B$1:$B$6230,0)),"",INDIRECT("'SorP'!$A$"&amp;MATCH($J1082,SorP!$B$1:$B$6230,0))))</f>
        <v/>
      </c>
      <c r="U1082" s="239"/>
      <c r="V1082" s="269" t="e">
        <f>IF(C1082="",NA(),MATCH($B1082&amp;$C1082,'Smelter Look-up'!$J:$J,0))</f>
        <v>#N/A</v>
      </c>
      <c r="W1082" s="270"/>
      <c r="X1082" s="270">
        <f t="shared" ca="1" si="52"/>
        <v>0</v>
      </c>
      <c r="Y1082" s="270"/>
      <c r="Z1082" s="270"/>
      <c r="AB1082" s="272" t="str">
        <f t="shared" si="53"/>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4">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5">IF(AND(C1083="Smelter not listed",OR(LEN(D1083)=0,LEN(E1083)=0)),1,0)</f>
        <v>0</v>
      </c>
      <c r="Y1083" s="270"/>
      <c r="Z1083" s="270"/>
      <c r="AB1083" s="272" t="str">
        <f t="shared" ref="AB1083:AB1146" si="56">B1083&amp;C1083</f>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4"/>
        <v/>
      </c>
      <c r="T1146" s="224" t="str">
        <f ca="1">IF(B1146="","",IF(ISERROR(MATCH($J1146,SorP!$B$1:$B$6230,0)),"",INDIRECT("'SorP'!$A$"&amp;MATCH($J1146,SorP!$B$1:$B$6230,0))))</f>
        <v/>
      </c>
      <c r="U1146" s="239"/>
      <c r="V1146" s="269" t="e">
        <f>IF(C1146="",NA(),MATCH($B1146&amp;$C1146,'Smelter Look-up'!$J:$J,0))</f>
        <v>#N/A</v>
      </c>
      <c r="W1146" s="270"/>
      <c r="X1146" s="270">
        <f t="shared" ca="1" si="55"/>
        <v>0</v>
      </c>
      <c r="Y1146" s="270"/>
      <c r="Z1146" s="270"/>
      <c r="AB1146" s="272" t="str">
        <f t="shared" si="56"/>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7">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8">IF(AND(C1147="Smelter not listed",OR(LEN(D1147)=0,LEN(E1147)=0)),1,0)</f>
        <v>0</v>
      </c>
      <c r="Y1147" s="270"/>
      <c r="Z1147" s="270"/>
      <c r="AB1147" s="272" t="str">
        <f t="shared" ref="AB1147:AB1210" si="59">B1147&amp;C1147</f>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7"/>
        <v/>
      </c>
      <c r="T1210" s="224" t="str">
        <f ca="1">IF(B1210="","",IF(ISERROR(MATCH($J1210,SorP!$B$1:$B$6230,0)),"",INDIRECT("'SorP'!$A$"&amp;MATCH($J1210,SorP!$B$1:$B$6230,0))))</f>
        <v/>
      </c>
      <c r="U1210" s="239"/>
      <c r="V1210" s="269" t="e">
        <f>IF(C1210="",NA(),MATCH($B1210&amp;$C1210,'Smelter Look-up'!$J:$J,0))</f>
        <v>#N/A</v>
      </c>
      <c r="W1210" s="270"/>
      <c r="X1210" s="270">
        <f t="shared" ca="1" si="58"/>
        <v>0</v>
      </c>
      <c r="Y1210" s="270"/>
      <c r="Z1210" s="270"/>
      <c r="AB1210" s="272" t="str">
        <f t="shared" si="59"/>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1">IF(AND(C1211="Smelter not listed",OR(LEN(D1211)=0,LEN(E1211)=0)),1,0)</f>
        <v>0</v>
      </c>
      <c r="Y1211" s="270"/>
      <c r="Z1211" s="270"/>
      <c r="AB1211" s="272" t="str">
        <f t="shared" ref="AB1211:AB1274" si="62">B1211&amp;C1211</f>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0"/>
        <v/>
      </c>
      <c r="T1274" s="224" t="str">
        <f ca="1">IF(B1274="","",IF(ISERROR(MATCH($J1274,SorP!$B$1:$B$6230,0)),"",INDIRECT("'SorP'!$A$"&amp;MATCH($J1274,SorP!$B$1:$B$6230,0))))</f>
        <v/>
      </c>
      <c r="U1274" s="239"/>
      <c r="V1274" s="269" t="e">
        <f>IF(C1274="",NA(),MATCH($B1274&amp;$C1274,'Smelter Look-up'!$J:$J,0))</f>
        <v>#N/A</v>
      </c>
      <c r="W1274" s="270"/>
      <c r="X1274" s="270">
        <f t="shared" ca="1" si="61"/>
        <v>0</v>
      </c>
      <c r="Y1274" s="270"/>
      <c r="Z1274" s="270"/>
      <c r="AB1274" s="272" t="str">
        <f t="shared" si="62"/>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4">IF(AND(C1275="Smelter not listed",OR(LEN(D1275)=0,LEN(E1275)=0)),1,0)</f>
        <v>0</v>
      </c>
      <c r="Y1275" s="270"/>
      <c r="Z1275" s="270"/>
      <c r="AB1275" s="272" t="str">
        <f t="shared" ref="AB1275:AB1338" si="65">B1275&amp;C1275</f>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3"/>
        <v/>
      </c>
      <c r="T1338" s="224" t="str">
        <f ca="1">IF(B1338="","",IF(ISERROR(MATCH($J1338,SorP!$B$1:$B$6230,0)),"",INDIRECT("'SorP'!$A$"&amp;MATCH($J1338,SorP!$B$1:$B$6230,0))))</f>
        <v/>
      </c>
      <c r="U1338" s="239"/>
      <c r="V1338" s="269" t="e">
        <f>IF(C1338="",NA(),MATCH($B1338&amp;$C1338,'Smelter Look-up'!$J:$J,0))</f>
        <v>#N/A</v>
      </c>
      <c r="W1338" s="270"/>
      <c r="X1338" s="270">
        <f t="shared" ca="1" si="64"/>
        <v>0</v>
      </c>
      <c r="Y1338" s="270"/>
      <c r="Z1338" s="270"/>
      <c r="AB1338" s="272" t="str">
        <f t="shared" si="65"/>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7">IF(AND(C1339="Smelter not listed",OR(LEN(D1339)=0,LEN(E1339)=0)),1,0)</f>
        <v>0</v>
      </c>
      <c r="Y1339" s="270"/>
      <c r="Z1339" s="270"/>
      <c r="AB1339" s="272" t="str">
        <f t="shared" ref="AB1339:AB1402" si="68">B1339&amp;C1339</f>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6"/>
        <v/>
      </c>
      <c r="T1402" s="224" t="str">
        <f ca="1">IF(B1402="","",IF(ISERROR(MATCH($J1402,SorP!$B$1:$B$6230,0)),"",INDIRECT("'SorP'!$A$"&amp;MATCH($J1402,SorP!$B$1:$B$6230,0))))</f>
        <v/>
      </c>
      <c r="U1402" s="239"/>
      <c r="V1402" s="269" t="e">
        <f>IF(C1402="",NA(),MATCH($B1402&amp;$C1402,'Smelter Look-up'!$J:$J,0))</f>
        <v>#N/A</v>
      </c>
      <c r="W1402" s="270"/>
      <c r="X1402" s="270">
        <f t="shared" ca="1" si="67"/>
        <v>0</v>
      </c>
      <c r="Y1402" s="270"/>
      <c r="Z1402" s="270"/>
      <c r="AB1402" s="272" t="str">
        <f t="shared" si="68"/>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9">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0">IF(AND(C1403="Smelter not listed",OR(LEN(D1403)=0,LEN(E1403)=0)),1,0)</f>
        <v>0</v>
      </c>
      <c r="Y1403" s="270"/>
      <c r="Z1403" s="270"/>
      <c r="AB1403" s="272" t="str">
        <f t="shared" ref="AB1403:AB1466" si="71">B1403&amp;C1403</f>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9"/>
        <v/>
      </c>
      <c r="T1466" s="224" t="str">
        <f ca="1">IF(B1466="","",IF(ISERROR(MATCH($J1466,SorP!$B$1:$B$6230,0)),"",INDIRECT("'SorP'!$A$"&amp;MATCH($J1466,SorP!$B$1:$B$6230,0))))</f>
        <v/>
      </c>
      <c r="U1466" s="239"/>
      <c r="V1466" s="269" t="e">
        <f>IF(C1466="",NA(),MATCH($B1466&amp;$C1466,'Smelter Look-up'!$J:$J,0))</f>
        <v>#N/A</v>
      </c>
      <c r="W1466" s="270"/>
      <c r="X1466" s="270">
        <f t="shared" ca="1" si="70"/>
        <v>0</v>
      </c>
      <c r="Y1466" s="270"/>
      <c r="Z1466" s="270"/>
      <c r="AB1466" s="272" t="str">
        <f t="shared" si="71"/>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2">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3">IF(AND(C1467="Smelter not listed",OR(LEN(D1467)=0,LEN(E1467)=0)),1,0)</f>
        <v>0</v>
      </c>
      <c r="Y1467" s="270"/>
      <c r="Z1467" s="270"/>
      <c r="AB1467" s="272" t="str">
        <f t="shared" ref="AB1467:AB1530" si="74">B1467&amp;C1467</f>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20.25">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20.25">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20.25">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3.5"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3.5"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86:B2493">
    <cfRule type="expression" dxfId="43" priority="28" stopIfTrue="1">
      <formula>IF(B586="",TRUE)</formula>
    </cfRule>
    <cfRule type="expression" dxfId="42" priority="39" stopIfTrue="1">
      <formula>IF(AND(COUNTIF(MetalSmelter,B586&amp;C586)=0,LEN(C586)&gt;0), TRUE, FALSE)</formula>
    </cfRule>
  </conditionalFormatting>
  <conditionalFormatting sqref="D586:D2493">
    <cfRule type="expression" dxfId="41" priority="22" stopIfTrue="1">
      <formula>IF(AND(LEN($C586) &gt;0, ($C586 &lt;&gt; "Smelter Not Listed")),1,0)</formula>
    </cfRule>
    <cfRule type="expression" dxfId="40" priority="47" stopIfTrue="1">
      <formula>IF(AND(D586="",$C586=$X$4),TRUE)</formula>
    </cfRule>
    <cfRule type="expression" dxfId="39" priority="48" stopIfTrue="1">
      <formula>IF(FIND("!",D586),TRUE)</formula>
    </cfRule>
  </conditionalFormatting>
  <conditionalFormatting sqref="G586:G2493">
    <cfRule type="expression" dxfId="38" priority="49" stopIfTrue="1">
      <formula>IF(FIND("Enter smelter details",G586),TRUE)</formula>
    </cfRule>
  </conditionalFormatting>
  <conditionalFormatting sqref="R586:R2494 E586:E2493">
    <cfRule type="expression" dxfId="37" priority="35" stopIfTrue="1">
      <formula>IF(AND(E586="",$C586=$X$4),TRUE)</formula>
    </cfRule>
    <cfRule type="expression" dxfId="36" priority="36" stopIfTrue="1">
      <formula>IF(FIND("!",E586),TRUE)</formula>
    </cfRule>
  </conditionalFormatting>
  <conditionalFormatting sqref="F586:F2493">
    <cfRule type="expression" dxfId="35" priority="26" stopIfTrue="1">
      <formula>IF(AND(LEN($A586)&gt;0,$A586&lt;&gt;$F586),TRUE,FALSE)</formula>
    </cfRule>
  </conditionalFormatting>
  <conditionalFormatting sqref="C586:C2493">
    <cfRule type="expression" dxfId="34" priority="25" stopIfTrue="1">
      <formula>IF(AND(B586&lt;&gt;"",C586=""),TRUE)</formula>
    </cfRule>
  </conditionalFormatting>
  <conditionalFormatting sqref="B5:B585">
    <cfRule type="expression" dxfId="33" priority="4" stopIfTrue="1">
      <formula>IF(B5="",TRUE)</formula>
    </cfRule>
    <cfRule type="expression" dxfId="32" priority="7" stopIfTrue="1">
      <formula>IF(AND(COUNTIF(MetalSmelter,B5&amp;C5)=0,LEN(C5)&gt;0), TRUE, FALSE)</formula>
    </cfRule>
  </conditionalFormatting>
  <conditionalFormatting sqref="D5:D585">
    <cfRule type="expression" dxfId="31" priority="1" stopIfTrue="1">
      <formula>IF(AND(LEN($C5) &gt;0, ($C5 &lt;&gt; "Smelter Not Listed")),1,0)</formula>
    </cfRule>
    <cfRule type="expression" dxfId="30" priority="8" stopIfTrue="1">
      <formula>IF(AND(D5="",$C5=$X$4),TRUE)</formula>
    </cfRule>
    <cfRule type="expression" dxfId="29" priority="9" stopIfTrue="1">
      <formula>IF(FIND("!",D5),TRUE)</formula>
    </cfRule>
  </conditionalFormatting>
  <conditionalFormatting sqref="G5:G585">
    <cfRule type="expression" dxfId="28" priority="10" stopIfTrue="1">
      <formula>IF(FIND("Enter smelter details",G5),TRUE)</formula>
    </cfRule>
  </conditionalFormatting>
  <conditionalFormatting sqref="R5:R585 E5:E585">
    <cfRule type="expression" dxfId="27" priority="5" stopIfTrue="1">
      <formula>IF(AND(E5="",$C5=$X$4),TRUE)</formula>
    </cfRule>
    <cfRule type="expression" dxfId="26" priority="6" stopIfTrue="1">
      <formula>IF(FIND("!",E5),TRUE)</formula>
    </cfRule>
  </conditionalFormatting>
  <conditionalFormatting sqref="F5:F585">
    <cfRule type="expression" dxfId="25" priority="3" stopIfTrue="1">
      <formula>IF(AND(LEN($A5)&gt;0,$A5&lt;&gt;$F5),TRUE,FALSE)</formula>
    </cfRule>
  </conditionalFormatting>
  <conditionalFormatting sqref="C5:C585">
    <cfRule type="expression" dxfId="24" priority="2" stopIfTrue="1">
      <formula>IF(AND(B5&lt;&gt;"",C5=""),TRUE)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Normal="100" zoomScalePageLayoutView="70" workbookViewId="0">
      <pane xSplit="1" ySplit="3" topLeftCell="B55"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38" t="str">
        <f ca="1">OFFSET(L!$C$1,MATCH("Checker"&amp;ADDRESS(ROW(),COLUMN(),4),L!$A:$A,0)-1,SL,,)</f>
        <v>To ensure all required fields have been populated before submitting to your customers review form for any line items highlighted in red</v>
      </c>
      <c r="B1" s="438"/>
      <c r="C1" s="438"/>
      <c r="D1" s="150" t="str">
        <f ca="1">OFFSET(L!$C$1,MATCH("Checker"&amp;ADDRESS(ROW(),COLUMN(),4),L!$A:$A,0)-1,SL,,)</f>
        <v>Required fields remaining to be completed</v>
      </c>
      <c r="E1" s="87" t="s">
        <v>917</v>
      </c>
    </row>
    <row r="2" spans="1:10" ht="15">
      <c r="A2" s="80" t="s">
        <v>1014</v>
      </c>
      <c r="B2" s="81" t="str">
        <f>IF(F62=1,"Click here to return to Smelter List","")</f>
        <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TM STEELS LIMITED</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t="str">
        <f>Declaration!D10</f>
        <v>Steel Stockholder</v>
      </c>
      <c r="C6" s="105" t="str">
        <f t="shared" ca="1" si="0"/>
        <v>Complete</v>
      </c>
      <c r="D6" s="111" t="str">
        <f>IF(H6=1,"Click here to provide a Description of Scope","")</f>
        <v/>
      </c>
      <c r="E6" s="87" t="s">
        <v>1437</v>
      </c>
      <c r="F6" s="110">
        <f>IF(OR(B5=Declaration!P9,B5=Declaration!Q9,B5=0),0,1)</f>
        <v>0</v>
      </c>
      <c r="G6" s="84">
        <f t="shared" si="1"/>
        <v>0</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Richard Hemingway</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richard@tmsteels.co.uk</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01246 268312</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Amy Walters</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amy@tmsteels.co.uk</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01246 268312</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43924</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 xml:space="preserve">Tantalum  </v>
      </c>
      <c r="B15" s="105" t="str">
        <f>Declaration!D26</f>
        <v>No</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 xml:space="preserve">Tin  </v>
      </c>
      <c r="B16" s="105" t="str">
        <f>Declaration!D27</f>
        <v>No</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 xml:space="preserve">Gold  </v>
      </c>
      <c r="B17" s="105" t="str">
        <f>Declaration!D28</f>
        <v>No</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 xml:space="preserve">Tungsten  </v>
      </c>
      <c r="B18" s="105" t="str">
        <f>Declaration!D29</f>
        <v>No</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v>
      </c>
      <c r="B19" s="108"/>
      <c r="C19" s="108"/>
      <c r="D19" s="112"/>
      <c r="E19" s="87" t="s">
        <v>919</v>
      </c>
      <c r="F19" s="109"/>
      <c r="G19" s="24"/>
      <c r="H19" s="24"/>
      <c r="J19" s="182"/>
    </row>
    <row r="20" spans="1:10" ht="39">
      <c r="A20" s="106" t="str">
        <f ca="1">Declaration!B32</f>
        <v xml:space="preserve">Tantalum  </v>
      </c>
      <c r="B20" s="105">
        <f>IF($B$15="Yes",Declaration!D32,0)</f>
        <v>0</v>
      </c>
      <c r="C20" s="105" t="str">
        <f t="shared" ca="1" si="3"/>
        <v>Complete</v>
      </c>
      <c r="D20" s="113" t="str">
        <f>IF(H20=1,"Click here to answer question 2 for Tantalum","")</f>
        <v/>
      </c>
      <c r="E20" s="87" t="s">
        <v>918</v>
      </c>
      <c r="F20" s="110">
        <f>IF(B$15="No",0,1)</f>
        <v>0</v>
      </c>
      <c r="G20" s="84">
        <f t="shared" si="4"/>
        <v>1</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 xml:space="preserve">Tin  </v>
      </c>
      <c r="B21" s="105">
        <f>IF($B$16="Yes",Declaration!D33,0)</f>
        <v>0</v>
      </c>
      <c r="C21" s="105" t="str">
        <f t="shared" ca="1" si="3"/>
        <v>Complete</v>
      </c>
      <c r="D21" s="113" t="str">
        <f>IF(H21=1,"Click here to answer question 2 for Tin","")</f>
        <v/>
      </c>
      <c r="E21" s="87" t="s">
        <v>918</v>
      </c>
      <c r="F21" s="110">
        <f>IF(B$16="No",0,1)</f>
        <v>0</v>
      </c>
      <c r="G21" s="84">
        <f t="shared" si="4"/>
        <v>1</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 xml:space="preserve">Gold  </v>
      </c>
      <c r="B22" s="105">
        <f>IF($B$17="Yes",Declaration!D34,0)</f>
        <v>0</v>
      </c>
      <c r="C22" s="105" t="str">
        <f t="shared" ca="1" si="3"/>
        <v>Complete</v>
      </c>
      <c r="D22" s="113" t="str">
        <f>IF(H22=1,"Click here to answer question 2 for Gold","")</f>
        <v/>
      </c>
      <c r="E22" s="87" t="s">
        <v>918</v>
      </c>
      <c r="F22" s="110">
        <f>IF(B$17="No",0,1)</f>
        <v>0</v>
      </c>
      <c r="G22" s="84">
        <f t="shared" si="4"/>
        <v>1</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 xml:space="preserve">Tungsten  </v>
      </c>
      <c r="B23" s="105">
        <f>IF($B$18="Yes",Declaration!D35,0)</f>
        <v>0</v>
      </c>
      <c r="C23" s="105" t="str">
        <f t="shared" ca="1" si="3"/>
        <v>Complete</v>
      </c>
      <c r="D23" s="113" t="str">
        <f>IF(H23=1,"Click here to answer question 2 for Tungsten","")</f>
        <v/>
      </c>
      <c r="E23" s="87" t="s">
        <v>918</v>
      </c>
      <c r="F23" s="110">
        <f>IF(B$18="No",0,1)</f>
        <v>0</v>
      </c>
      <c r="G23" s="84">
        <f t="shared" si="4"/>
        <v>1</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v>
      </c>
      <c r="B24" s="108"/>
      <c r="C24" s="108"/>
      <c r="D24" s="112"/>
      <c r="E24" s="87" t="s">
        <v>918</v>
      </c>
      <c r="F24" s="109"/>
      <c r="G24" s="24"/>
      <c r="H24" s="24"/>
      <c r="J24" s="182"/>
    </row>
    <row r="25" spans="1:10" ht="51">
      <c r="A25" s="106" t="str">
        <f ca="1">Declaration!B38</f>
        <v xml:space="preserve">Tantalum  </v>
      </c>
      <c r="B25" s="105">
        <f>IF(AND($B$15="Yes",$B$20="Yes"),Declaration!D38,0)</f>
        <v>0</v>
      </c>
      <c r="C25" s="105" t="str">
        <f t="shared" ca="1" si="3"/>
        <v>Complete</v>
      </c>
      <c r="D25" s="113" t="str">
        <f>IF(H25=1,"Click here to answer question 3 for Tantalum","")</f>
        <v/>
      </c>
      <c r="E25" s="87" t="s">
        <v>918</v>
      </c>
      <c r="F25" s="110">
        <f>IF(OR(B15="No",B20="No"),0,1)</f>
        <v>0</v>
      </c>
      <c r="G25" s="84">
        <f t="shared" ref="G25:G60" si="5">IF(B25=0,1,0)</f>
        <v>1</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 xml:space="preserve">Tin  </v>
      </c>
      <c r="B26" s="105">
        <f>IF(AND($B$16="Yes",$B$21="Yes"),Declaration!D39,0)</f>
        <v>0</v>
      </c>
      <c r="C26" s="105" t="str">
        <f t="shared" ca="1" si="3"/>
        <v>Complete</v>
      </c>
      <c r="D26" s="113" t="str">
        <f>IF(H26=1,"Click here to answer question 3 for Tin","")</f>
        <v/>
      </c>
      <c r="E26" s="87" t="s">
        <v>918</v>
      </c>
      <c r="F26" s="110">
        <f>IF(OR(B16="No",B21="No"),0,1)</f>
        <v>0</v>
      </c>
      <c r="G26" s="84">
        <f t="shared" si="5"/>
        <v>1</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 xml:space="preserve">Gold  </v>
      </c>
      <c r="B27" s="105">
        <f>IF(AND($B$17="Yes",$B$22="Yes"),Declaration!D40,0)</f>
        <v>0</v>
      </c>
      <c r="C27" s="105" t="str">
        <f t="shared" ca="1" si="3"/>
        <v>Complete</v>
      </c>
      <c r="D27" s="113" t="str">
        <f>IF(H27=1,"Click here to answer question 3 for Gold","")</f>
        <v/>
      </c>
      <c r="E27" s="87" t="s">
        <v>918</v>
      </c>
      <c r="F27" s="110">
        <f>IF(OR(B17="No",B22="No"),0,1)</f>
        <v>0</v>
      </c>
      <c r="G27" s="84">
        <f t="shared" si="5"/>
        <v>1</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51">
      <c r="A28" s="106" t="str">
        <f ca="1">Declaration!B41</f>
        <v xml:space="preserve">Tungsten  </v>
      </c>
      <c r="B28" s="105">
        <f>IF(AND($B$18="Yes",$B$23="Yes"),Declaration!D41,0)</f>
        <v>0</v>
      </c>
      <c r="C28" s="105" t="str">
        <f t="shared" ca="1" si="3"/>
        <v>Complete</v>
      </c>
      <c r="D28" s="113" t="str">
        <f>IF(H28=1,"Click here to answer question 3 for Tungsten","")</f>
        <v/>
      </c>
      <c r="E28" s="87" t="s">
        <v>918</v>
      </c>
      <c r="F28" s="110">
        <f>IF(OR(B18="No",B23="No"),0,1)</f>
        <v>0</v>
      </c>
      <c r="G28" s="84">
        <f t="shared" si="5"/>
        <v>1</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 xml:space="preserve">4) Does 100 percent of the 3TG (necessary to the functionality or production of your products) originate from recycled or scrap sources? </v>
      </c>
      <c r="B29" s="108"/>
      <c r="C29" s="108"/>
      <c r="D29" s="112"/>
      <c r="E29" s="87" t="s">
        <v>1437</v>
      </c>
      <c r="F29" s="109"/>
      <c r="G29" s="24"/>
      <c r="H29" s="24"/>
      <c r="J29" s="182"/>
    </row>
    <row r="30" spans="1:10" ht="51">
      <c r="A30" s="106" t="str">
        <f ca="1">Declaration!B44</f>
        <v xml:space="preserve">Tantalum  </v>
      </c>
      <c r="B30" s="105">
        <f>IF(AND($B$15="Yes",$B$20="Yes"),Declaration!D44,0)</f>
        <v>0</v>
      </c>
      <c r="C30" s="105" t="str">
        <f ca="1">IF(H30=1,J30,I30)</f>
        <v>Complete</v>
      </c>
      <c r="D30" s="113" t="str">
        <f>IF(H30=1,"Click here to answer question 4 for Tantalum","")</f>
        <v/>
      </c>
      <c r="E30" s="87" t="s">
        <v>1437</v>
      </c>
      <c r="F30" s="110">
        <f>F25</f>
        <v>0</v>
      </c>
      <c r="G30" s="84">
        <f>IF(B30=0,1,0)</f>
        <v>1</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 xml:space="preserve">Tin  </v>
      </c>
      <c r="B31" s="105">
        <f>IF(AND($B$16="Yes",$B$21="Yes"),Declaration!D45,0)</f>
        <v>0</v>
      </c>
      <c r="C31" s="105" t="str">
        <f ca="1">IF(H31=1,J31,I31)</f>
        <v>Complete</v>
      </c>
      <c r="D31" s="113" t="str">
        <f>IF(H31=1,"Click here to answer question 4 for Tin","")</f>
        <v/>
      </c>
      <c r="E31" s="87" t="s">
        <v>1437</v>
      </c>
      <c r="F31" s="110">
        <f>F26</f>
        <v>0</v>
      </c>
      <c r="G31" s="84">
        <f>IF(B31=0,1,0)</f>
        <v>1</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 xml:space="preserve">Gold  </v>
      </c>
      <c r="B32" s="105">
        <f>IF(AND($B$17="Yes",$B$22="Yes"),Declaration!D46,0)</f>
        <v>0</v>
      </c>
      <c r="C32" s="105" t="str">
        <f ca="1">IF(H32=1,J32,I32)</f>
        <v>Complete</v>
      </c>
      <c r="D32" s="113" t="str">
        <f>IF(H32=1,"Click here to answer question 4 for Gold","")</f>
        <v/>
      </c>
      <c r="E32" s="87" t="s">
        <v>1437</v>
      </c>
      <c r="F32" s="110">
        <f>F27</f>
        <v>0</v>
      </c>
      <c r="G32" s="84">
        <f>IF(B32=0,1,0)</f>
        <v>1</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51">
      <c r="A33" s="106" t="str">
        <f ca="1">Declaration!B47</f>
        <v xml:space="preserve">Tungsten  </v>
      </c>
      <c r="B33" s="105">
        <f>IF(AND($B$18="Yes",$B$23="Yes"),Declaration!D47,0)</f>
        <v>0</v>
      </c>
      <c r="C33" s="105" t="str">
        <f ca="1">IF(H33=1,J33,I33)</f>
        <v>Complete</v>
      </c>
      <c r="D33" s="113" t="str">
        <f>IF(H33=1,"Click here to answer question 4 for Tungsten","")</f>
        <v/>
      </c>
      <c r="E33" s="87" t="s">
        <v>1437</v>
      </c>
      <c r="F33" s="110">
        <f>F28</f>
        <v>0</v>
      </c>
      <c r="G33" s="84">
        <f>IF(B33=0,1,0)</f>
        <v>1</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 xml:space="preserve">5) What percentage of relevant suppliers have provided a response to your supply chain survey? </v>
      </c>
      <c r="B34" s="108"/>
      <c r="C34" s="108"/>
      <c r="D34" s="112"/>
      <c r="E34" s="87" t="s">
        <v>918</v>
      </c>
      <c r="F34" s="109"/>
      <c r="G34" s="24"/>
      <c r="H34" s="24"/>
    </row>
    <row r="35" spans="1:10" ht="26.25">
      <c r="A35" s="106" t="str">
        <f ca="1">Declaration!B50</f>
        <v xml:space="preserve">Tantalum  </v>
      </c>
      <c r="B35" s="105">
        <f>IF(AND($B$15="Yes",$B$20="Yes"),Declaration!D50,0)</f>
        <v>0</v>
      </c>
      <c r="C35" s="105" t="str">
        <f t="shared" ca="1" si="3"/>
        <v>Complete</v>
      </c>
      <c r="D35" s="111" t="str">
        <f>IF(H35=1,"Click here to answer question 5 for Tantalum","")</f>
        <v/>
      </c>
      <c r="E35" s="87" t="s">
        <v>917</v>
      </c>
      <c r="F35" s="110">
        <f>F25</f>
        <v>0</v>
      </c>
      <c r="G35" s="84">
        <f t="shared" si="5"/>
        <v>1</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 xml:space="preserve">Tin  </v>
      </c>
      <c r="B36" s="105">
        <f>IF(AND($B$16="Yes",$B$21="Yes"),Declaration!D51,0)</f>
        <v>0</v>
      </c>
      <c r="C36" s="105" t="str">
        <f ca="1">IF(H36=1,J36,I36)</f>
        <v>Complete</v>
      </c>
      <c r="D36" s="111" t="str">
        <f>IF(H36=1,"Click here to answer question 5 for Tin","")</f>
        <v/>
      </c>
      <c r="E36" s="87" t="s">
        <v>917</v>
      </c>
      <c r="F36" s="110">
        <f>F26</f>
        <v>0</v>
      </c>
      <c r="G36" s="84">
        <f t="shared" si="5"/>
        <v>1</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 xml:space="preserve">Gold  </v>
      </c>
      <c r="B37" s="105">
        <f>IF(AND($B$17="Yes",$B$22="Yes"),Declaration!D52,0)</f>
        <v>0</v>
      </c>
      <c r="C37" s="105" t="str">
        <f t="shared" ca="1" si="3"/>
        <v>Complete</v>
      </c>
      <c r="D37" s="111" t="str">
        <f>IF(H37=1,"Click here to answer question 5 for Gold","")</f>
        <v/>
      </c>
      <c r="E37" s="87" t="s">
        <v>917</v>
      </c>
      <c r="F37" s="110">
        <f>F27</f>
        <v>0</v>
      </c>
      <c r="G37" s="84">
        <f t="shared" si="5"/>
        <v>1</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 xml:space="preserve">Tungsten  </v>
      </c>
      <c r="B38" s="105">
        <f>IF(AND($B$18="Yes",$B$23="Yes"),Declaration!D53,0)</f>
        <v>0</v>
      </c>
      <c r="C38" s="105" t="str">
        <f t="shared" ca="1" si="3"/>
        <v>Complete</v>
      </c>
      <c r="D38" s="111" t="str">
        <f>IF(H38=1,"Click here to answer question 5 for Tungsten","")</f>
        <v/>
      </c>
      <c r="E38" s="87" t="s">
        <v>917</v>
      </c>
      <c r="F38" s="110">
        <f>F28</f>
        <v>0</v>
      </c>
      <c r="G38" s="84">
        <f t="shared" si="5"/>
        <v>1</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 xml:space="preserve">6) Have you identified all of the smelters supplying the 3TG to your supply chain? </v>
      </c>
      <c r="B39" s="108"/>
      <c r="C39" s="108"/>
      <c r="D39" s="112"/>
      <c r="E39" s="87" t="s">
        <v>919</v>
      </c>
      <c r="F39" s="109"/>
      <c r="G39" s="24"/>
      <c r="H39" s="24"/>
    </row>
    <row r="40" spans="1:10" ht="51.75">
      <c r="A40" s="106" t="str">
        <f ca="1">Declaration!B56</f>
        <v xml:space="preserve">Tantalum  </v>
      </c>
      <c r="B40" s="105">
        <f>IF(AND($B$15="Yes",$B$20="Yes"),Declaration!D56,0)</f>
        <v>0</v>
      </c>
      <c r="C40" s="105" t="str">
        <f t="shared" ca="1" si="3"/>
        <v>Complete</v>
      </c>
      <c r="D40" s="113" t="str">
        <f>IF(H40=1,"Click here to answer question 6 for Tantalum","")</f>
        <v/>
      </c>
      <c r="E40" s="87" t="s">
        <v>1433</v>
      </c>
      <c r="F40" s="110">
        <f>F25</f>
        <v>0</v>
      </c>
      <c r="G40" s="84">
        <f t="shared" si="5"/>
        <v>1</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 xml:space="preserve">Tin  </v>
      </c>
      <c r="B41" s="105">
        <f>IF(AND($B$16="Yes",$B$21="Yes"),Declaration!D57,0)</f>
        <v>0</v>
      </c>
      <c r="C41" s="105" t="str">
        <f t="shared" ca="1" si="3"/>
        <v>Complete</v>
      </c>
      <c r="D41" s="113" t="str">
        <f>IF(H41=1,"Click here to answer question 6 for Tin","")</f>
        <v/>
      </c>
      <c r="E41" s="87" t="s">
        <v>1433</v>
      </c>
      <c r="F41" s="110">
        <f>F26</f>
        <v>0</v>
      </c>
      <c r="G41" s="84">
        <f t="shared" si="5"/>
        <v>1</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 xml:space="preserve">Gold  </v>
      </c>
      <c r="B42" s="105">
        <f>IF(AND($B$17="Yes",$B$22="Yes"),Declaration!D58,0)</f>
        <v>0</v>
      </c>
      <c r="C42" s="105" t="str">
        <f t="shared" ca="1" si="3"/>
        <v>Complete</v>
      </c>
      <c r="D42" s="113" t="str">
        <f>IF(H42=1,"Click here to answer question 6 for Gold","")</f>
        <v/>
      </c>
      <c r="E42" s="87" t="s">
        <v>1433</v>
      </c>
      <c r="F42" s="110">
        <f>F27</f>
        <v>0</v>
      </c>
      <c r="G42" s="84">
        <f t="shared" si="5"/>
        <v>1</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 xml:space="preserve">Tungsten  </v>
      </c>
      <c r="B43" s="105">
        <f>IF(AND($B$18="Yes",$B$23="Yes"),Declaration!D59,0)</f>
        <v>0</v>
      </c>
      <c r="C43" s="105" t="str">
        <f t="shared" ca="1" si="3"/>
        <v>Complete</v>
      </c>
      <c r="D43" s="113" t="str">
        <f>IF(H43=1,"Click here to answer question 6 for Tungsten","")</f>
        <v/>
      </c>
      <c r="E43" s="87" t="s">
        <v>1433</v>
      </c>
      <c r="F43" s="110">
        <f>F28</f>
        <v>0</v>
      </c>
      <c r="G43" s="84">
        <f t="shared" si="5"/>
        <v>1</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 xml:space="preserve">7) Has all applicable smelter information received by your company been reported in this declaration? </v>
      </c>
      <c r="B44" s="108"/>
      <c r="C44" s="108"/>
      <c r="D44" s="112"/>
      <c r="E44" s="87" t="s">
        <v>920</v>
      </c>
      <c r="F44" s="109"/>
      <c r="G44" s="24"/>
      <c r="H44" s="24"/>
    </row>
    <row r="45" spans="1:10" ht="39">
      <c r="A45" s="106" t="str">
        <f ca="1">Declaration!B62</f>
        <v xml:space="preserve">Tantalum  </v>
      </c>
      <c r="B45" s="105">
        <f>IF(AND($B$15="Yes",$B$20="Yes"),Declaration!D62,0)</f>
        <v>0</v>
      </c>
      <c r="C45" s="105" t="str">
        <f t="shared" ca="1" si="3"/>
        <v>Complete</v>
      </c>
      <c r="D45" s="114" t="str">
        <f>IF(H45=1,"Click here to answer question 7 for Tantalum","")</f>
        <v/>
      </c>
      <c r="E45" s="87" t="s">
        <v>918</v>
      </c>
      <c r="F45" s="110">
        <f>F25</f>
        <v>0</v>
      </c>
      <c r="G45" s="84">
        <f t="shared" si="5"/>
        <v>1</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 xml:space="preserve">Tin  </v>
      </c>
      <c r="B46" s="105">
        <f>IF(AND($B$16="Yes",$B$21="Yes"),Declaration!D63,0)</f>
        <v>0</v>
      </c>
      <c r="C46" s="105" t="str">
        <f t="shared" ca="1" si="3"/>
        <v>Complete</v>
      </c>
      <c r="D46" s="114" t="str">
        <f>IF(H46=1,"Click here to answer question 7 for Tin","")</f>
        <v/>
      </c>
      <c r="E46" s="87" t="s">
        <v>918</v>
      </c>
      <c r="F46" s="110">
        <f>F26</f>
        <v>0</v>
      </c>
      <c r="G46" s="84">
        <f t="shared" si="5"/>
        <v>1</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 xml:space="preserve">Gold  </v>
      </c>
      <c r="B47" s="105">
        <f>IF(AND($B$17="Yes",$B$22="Yes"),Declaration!D64,0)</f>
        <v>0</v>
      </c>
      <c r="C47" s="105" t="str">
        <f t="shared" ca="1" si="3"/>
        <v>Complete</v>
      </c>
      <c r="D47" s="114" t="str">
        <f>IF(H47=1,"Click here to answer question 7 for Gold","")</f>
        <v/>
      </c>
      <c r="E47" s="87" t="s">
        <v>918</v>
      </c>
      <c r="F47" s="110">
        <f>F27</f>
        <v>0</v>
      </c>
      <c r="G47" s="84">
        <f t="shared" si="5"/>
        <v>1</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 xml:space="preserve">Tungsten  </v>
      </c>
      <c r="B48" s="105">
        <f>IF(AND($B$18="Yes",$B$23="Yes"),Declaration!D65,0)</f>
        <v>0</v>
      </c>
      <c r="C48" s="105" t="str">
        <f t="shared" ca="1" si="3"/>
        <v>Complete</v>
      </c>
      <c r="D48" s="114" t="str">
        <f>IF(H48=1,"Click here to answer question 7 for Tungsten","")</f>
        <v/>
      </c>
      <c r="E48" s="87" t="s">
        <v>918</v>
      </c>
      <c r="F48" s="110">
        <f>F28</f>
        <v>0</v>
      </c>
      <c r="G48" s="84">
        <f t="shared" si="5"/>
        <v>1</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v>
      </c>
      <c r="B50" s="105" t="str">
        <f>Declaration!D69</f>
        <v>Yes</v>
      </c>
      <c r="C50" s="105" t="str">
        <f t="shared" ca="1" si="3"/>
        <v>Complete</v>
      </c>
      <c r="D50" s="111" t="str">
        <f>IF(H50=1,"Click here to answer question (A)","")</f>
        <v/>
      </c>
      <c r="E50" s="87" t="s">
        <v>1437</v>
      </c>
      <c r="F50" s="110">
        <f>IF(SUM(F$25:F$28)=0,0,1)</f>
        <v>0</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v>
      </c>
      <c r="B51" s="105" t="str">
        <f>Declaration!D71</f>
        <v>Yes</v>
      </c>
      <c r="C51" s="105" t="str">
        <f t="shared" ca="1" si="3"/>
        <v>Complete</v>
      </c>
      <c r="D51" s="111" t="str">
        <f>IF(H51=1,"Click here to answer question (B)","")</f>
        <v/>
      </c>
      <c r="E51" s="87" t="s">
        <v>1437</v>
      </c>
      <c r="F51" s="110">
        <f t="shared" ref="F51:F60" si="7">F$50</f>
        <v>0</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6</v>
      </c>
      <c r="B52" s="105" t="str">
        <f>Declaration!G71</f>
        <v>www.tmsteels.co.uk/downloads</v>
      </c>
      <c r="C52" s="105" t="str">
        <f ca="1">IF(H52=1,J52,I52)</f>
        <v>Complete</v>
      </c>
      <c r="D52" s="111" t="str">
        <f>IF(H52=1,"Click here to specify URL for question (B)","")</f>
        <v/>
      </c>
      <c r="E52" s="87"/>
      <c r="F52" s="110">
        <f>IF(AND(F51=1,B51="Yes"),1,0)</f>
        <v>0</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v>
      </c>
      <c r="B53" s="105" t="str">
        <f>Declaration!D73</f>
        <v>Yes</v>
      </c>
      <c r="C53" s="105" t="str">
        <f t="shared" ca="1" si="3"/>
        <v>Complete</v>
      </c>
      <c r="D53" s="111" t="str">
        <f>IF(H53=1,"Click here to answer question (C)","")</f>
        <v/>
      </c>
      <c r="E53" s="87" t="s">
        <v>1437</v>
      </c>
      <c r="F53" s="110">
        <f t="shared" si="7"/>
        <v>0</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v>
      </c>
      <c r="B54" s="105" t="str">
        <f>Declaration!D75</f>
        <v>Yes</v>
      </c>
      <c r="C54" s="105" t="str">
        <f ca="1">IF(H54=1,J54,I54)</f>
        <v>Complete</v>
      </c>
      <c r="D54" s="111" t="str">
        <f>IF(H54=1,"Click here to answer question (D)","")</f>
        <v/>
      </c>
      <c r="E54" s="87" t="s">
        <v>1437</v>
      </c>
      <c r="F54" s="110">
        <f t="shared" si="7"/>
        <v>0</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v>
      </c>
      <c r="B55" s="105" t="str">
        <f>Declaration!D77</f>
        <v>Yes</v>
      </c>
      <c r="C55" s="105" t="str">
        <f t="shared" ca="1" si="3"/>
        <v>Complete</v>
      </c>
      <c r="D55" s="111" t="str">
        <f>IF(H55=1,"Click here to answer question (E)","")</f>
        <v/>
      </c>
      <c r="E55" s="87" t="s">
        <v>1437</v>
      </c>
      <c r="F55" s="110">
        <f t="shared" si="7"/>
        <v>0</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v>
      </c>
      <c r="B56" s="105" t="str">
        <f>Declaration!D79</f>
        <v>Yes, using other format (describe)</v>
      </c>
      <c r="C56" s="105" t="str">
        <f t="shared" ca="1" si="3"/>
        <v>Complete</v>
      </c>
      <c r="D56" s="111" t="str">
        <f>IF(H56=1,"Click here to answer question (F)","")</f>
        <v/>
      </c>
      <c r="E56" s="87" t="s">
        <v>1437</v>
      </c>
      <c r="F56" s="110">
        <f t="shared" si="7"/>
        <v>0</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v>
      </c>
      <c r="B58" s="105" t="str">
        <f>Declaration!D81</f>
        <v>Yes</v>
      </c>
      <c r="C58" s="105" t="str">
        <f t="shared" ca="1" si="3"/>
        <v>Complete</v>
      </c>
      <c r="D58" s="111" t="str">
        <f>IF(H58=1,"Click here to answer question (G)","")</f>
        <v/>
      </c>
      <c r="E58" s="87" t="s">
        <v>1437</v>
      </c>
      <c r="F58" s="110">
        <f t="shared" si="7"/>
        <v>0</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v>
      </c>
      <c r="B59" s="105" t="str">
        <f>Declaration!D83</f>
        <v>Yes</v>
      </c>
      <c r="C59" s="105" t="str">
        <f t="shared" ca="1" si="3"/>
        <v>Complete</v>
      </c>
      <c r="D59" s="111" t="str">
        <f>IF(H59=1,"Click here to answer question (H)","")</f>
        <v/>
      </c>
      <c r="E59" s="87" t="s">
        <v>1437</v>
      </c>
      <c r="F59" s="110">
        <f t="shared" si="7"/>
        <v>0</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v>
      </c>
      <c r="B60" s="105" t="str">
        <f>Declaration!D85</f>
        <v>No</v>
      </c>
      <c r="C60" s="105" t="str">
        <f t="shared" ca="1" si="3"/>
        <v>Complete</v>
      </c>
      <c r="D60" s="111" t="str">
        <f>IF(H60=1,"Click here to answer question (I)","")</f>
        <v/>
      </c>
      <c r="E60" s="87" t="s">
        <v>1437</v>
      </c>
      <c r="F60" s="110">
        <f t="shared" si="7"/>
        <v>0</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IF(K62=1,L62,IF(B15="No","Not Required",IF(G62=0,I62,J62)))</f>
        <v>Not Required</v>
      </c>
      <c r="D62" s="111" t="str">
        <f>IF(H62=0,"","Click here to provide smelter information")</f>
        <v/>
      </c>
      <c r="E62" s="87" t="s">
        <v>1437</v>
      </c>
      <c r="F62" s="110">
        <f>F25</f>
        <v>0</v>
      </c>
      <c r="G62" s="84">
        <f>IF(AND(COUNTIF(SmelterIdetifiedForMetal,"Tantalum")&gt;0,COUNTIF('Smelter List'!AB$5:AB$2493,"Tantalum?*")&gt;0),0,1)</f>
        <v>1</v>
      </c>
      <c r="H62" s="85">
        <f t="shared"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IF(K63=1,L63,IF(B16="No","Not Required",IF(G63=0,I63,J63)))</f>
        <v>Not Required</v>
      </c>
      <c r="D63" s="111" t="str">
        <f>IF(H63=0,"","Click here to provide smelter information")</f>
        <v/>
      </c>
      <c r="E63" s="87" t="s">
        <v>918</v>
      </c>
      <c r="F63" s="110">
        <f>F26</f>
        <v>0</v>
      </c>
      <c r="G63" s="84">
        <f>IF(AND(COUNTIF(SmelterIdetifiedForMetal,"Tin")&gt;0,COUNTIF('Smelter List'!AB$5:AB$2493,"Tin?*")&gt;0),0,1)</f>
        <v>1</v>
      </c>
      <c r="H63" s="85">
        <f t="shared"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IF(K64=1,L64,IF(B17="No","Not Required",IF(G64=0,I64,J64)))</f>
        <v>Not Required</v>
      </c>
      <c r="D64" s="111" t="str">
        <f>IF(H64=0,"","Click here to provide smelter information")</f>
        <v/>
      </c>
      <c r="E64" s="87" t="s">
        <v>918</v>
      </c>
      <c r="F64" s="110">
        <f>F27</f>
        <v>0</v>
      </c>
      <c r="G64" s="84">
        <f>IF(AND(COUNTIF(SmelterIdetifiedForMetal,"Gold")&gt;0,COUNTIF('Smelter List'!AB$5:AB$2493,"Gold?*")&gt;0),0,1)</f>
        <v>1</v>
      </c>
      <c r="H64" s="85">
        <f t="shared"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IF(K65=1,L65,IF(B18="No","Not Required",IF(G65=0,I65,J65)))</f>
        <v>Not Required</v>
      </c>
      <c r="D65" s="111" t="str">
        <f>IF(H65=0,"","Click here to provide smelter information")</f>
        <v/>
      </c>
      <c r="E65" s="87" t="s">
        <v>918</v>
      </c>
      <c r="F65" s="110">
        <f>F28</f>
        <v>0</v>
      </c>
      <c r="G65" s="84">
        <f>IF(AND(COUNTIF(SmelterIdetifiedForMetal,"Tungsten")&gt;0,COUNTIF('Smelter List'!AB$5:AB$2493,"Tungsten?*")&gt;0),0,1)</f>
        <v>1</v>
      </c>
      <c r="H65" s="85">
        <f t="shared"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IF(F66=0,J66,IF(G66=0,I66,L66))</f>
        <v>N/A</v>
      </c>
      <c r="D66" s="111"/>
      <c r="E66" s="87"/>
      <c r="F66" s="110">
        <f>IF(COUNTIF('Smelter List'!C5:C2493,"Smelter not listed")=0,0,1)</f>
        <v>0</v>
      </c>
      <c r="G66" s="84">
        <f ca="1">IF(OR(SUMPRODUCT(('Smelter List'!C5:C2493="Smelter not listed")*('Smelter List'!D5:D2493=""))&gt;0,SUMPRODUCT(('Smelter List'!C5:C2493="Smelter not listed")*('Smelter List'!E5:E2493=""))&gt;0),1,0)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40" t="str">
        <f ca="1">OFFSET(L!$C$1,MATCH("Product List"&amp;ADDRESS(ROW(),COLUMN(),4),L!$A:$A,0)-1,SL,,)</f>
        <v>Completion required only if reporting level "Product (or List of Products)" selected on the 'Declaration' worksheet.</v>
      </c>
      <c r="B1" s="441"/>
      <c r="C1" s="441"/>
      <c r="D1" s="441"/>
      <c r="E1" s="149"/>
    </row>
    <row r="2" spans="1:6">
      <c r="A2" s="29"/>
      <c r="B2" s="151"/>
      <c r="C2" s="151"/>
      <c r="D2"/>
      <c r="E2" s="30"/>
    </row>
    <row r="3" spans="1:6">
      <c r="A3" s="29"/>
      <c r="B3" s="151"/>
      <c r="C3" s="151"/>
      <c r="D3" s="151"/>
      <c r="E3" s="30"/>
    </row>
    <row r="4" spans="1:6" ht="15.75" customHeight="1">
      <c r="A4" s="29"/>
      <c r="B4" s="439" t="s">
        <v>1014</v>
      </c>
      <c r="C4" s="439"/>
      <c r="D4" s="439"/>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42" t="str">
        <f ca="1">OFFSET(L!$C$1,MATCH("General"&amp;"Cpy",L!$A:$A,0)-1,SL,,)</f>
        <v>© 2019 Responsible Minerals Initiative. All rights reserved.</v>
      </c>
      <c r="C1001" s="442"/>
      <c r="D1001" s="442"/>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87"/>
  <sheetViews>
    <sheetView tabSelected="1" zoomScaleNormal="100" zoomScalePageLayoutView="85" workbookViewId="0">
      <pane ySplit="4" topLeftCell="A422" activePane="bottomLeft" state="frozen"/>
      <selection pane="bottomLeft" activeCell="B389" sqref="B389"/>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4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3"/>
      <c r="C1" s="443"/>
      <c r="D1" s="443"/>
      <c r="E1" s="443"/>
      <c r="F1" s="443"/>
      <c r="G1" s="443"/>
    </row>
    <row r="2" spans="1:16">
      <c r="A2" s="444"/>
      <c r="B2" s="444"/>
      <c r="C2" s="444"/>
      <c r="D2" s="444"/>
      <c r="E2" s="444"/>
      <c r="F2" s="444"/>
      <c r="G2" s="444"/>
      <c r="H2" s="444"/>
      <c r="I2" s="444"/>
    </row>
    <row r="3" spans="1:16">
      <c r="A3" s="444"/>
      <c r="B3" s="444"/>
      <c r="C3" s="444"/>
      <c r="D3" s="444"/>
      <c r="E3" s="444"/>
      <c r="F3" s="444"/>
      <c r="G3" s="444"/>
      <c r="H3" s="444"/>
      <c r="I3" s="444"/>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313.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20">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ht="28.5">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ht="28.5">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8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ht="28.5">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Amy Walters</cp:lastModifiedBy>
  <cp:lastPrinted>2020-02-07T09:11:51Z</cp:lastPrinted>
  <dcterms:created xsi:type="dcterms:W3CDTF">2010-06-21T21:00:23Z</dcterms:created>
  <dcterms:modified xsi:type="dcterms:W3CDTF">2020-04-03T07:56:55Z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Jet Reports Function Literals">
    <vt:lpwstr>,	;	,	{	}	[@[{0}]]	1033</vt:lpwstr>
  </property>
</Properties>
</file>